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CONTROL INTERNO 2024\INFORMES A ENTES EXTERNOS\INFORME DE EVALUACION INDEPENDIENTE AL SCI\"/>
    </mc:Choice>
  </mc:AlternateContent>
  <bookViews>
    <workbookView xWindow="0" yWindow="0" windowWidth="24000" windowHeight="9630" activeTab="2"/>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<sst xmlns="http://schemas.openxmlformats.org/spreadsheetml/2006/main" count="514" uniqueCount="245">
  <si>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</si>
  <si>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</si>
  <si>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</si>
  <si>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</si>
  <si>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</si>
  <si>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</si>
  <si>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</si>
  <si>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</si>
  <si>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</si>
  <si>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</si>
  <si>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</si>
  <si>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</si>
  <si>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</si>
  <si>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</si>
  <si>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</si>
  <si>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</si>
  <si>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</si>
  <si>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</si>
  <si>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</si>
  <si>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</si>
  <si>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</si>
  <si>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</si>
  <si>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</si>
  <si>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</si>
  <si>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</si>
  <si>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</si>
  <si>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</si>
  <si>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</si>
  <si>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</si>
  <si>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</si>
  <si>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</si>
  <si>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</si>
  <si>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</si>
  <si>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</si>
  <si>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</si>
  <si>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</si>
  <si>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No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</si>
  <si>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</si>
  <si>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</si>
  <si>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</si>
  <si>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</si>
  <si>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</si>
  <si>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</si>
  <si>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</si>
  <si>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</si>
  <si>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</si>
  <si>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</si>
  <si>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</si>
  <si>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</si>
  <si>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</si>
  <si>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</si>
  <si>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</si>
  <si>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</si>
  <si>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</si>
  <si>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</si>
  <si>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</si>
  <si>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</si>
  <si>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</si>
  <si>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</si>
  <si>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</si>
  <si>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</si>
  <si>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</si>
  <si>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</si>
  <si>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</si>
  <si>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</si>
  <si>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</si>
  <si>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</si>
  <si>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</si>
  <si>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</si>
  <si>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</si>
  <si>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</si>
  <si>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</si>
  <si>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</si>
  <si>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</si>
  <si>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</si>
  <si>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</si>
  <si>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</si>
  <si>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</si>
  <si>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</si>
  <si>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</si>
  <si>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</si>
  <si>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</si>
  <si>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</si>
  <si>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</si>
  <si>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</si>
  <si>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</si>
  <si>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</si>
  <si>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</si>
  <si>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</si>
  <si>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</si>
  <si>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</si>
  <si>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</si>
  <si>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</si>
  <si>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</si>
  <si>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</si>
  <si>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</si>
  <si>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</si>
  <si>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</si>
  <si>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</si>
  <si>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</si>
  <si>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</si>
  <si>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</si>
  <si>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</si>
  <si>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</si>
  <si>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</si>
  <si>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</si>
  <si>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</si>
  <si>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</si>
  <si>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</si>
  <si>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</si>
  <si>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</si>
  <si>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</si>
  <si>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</si>
  <si>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</si>
  <si>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</si>
  <si>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</si>
  <si>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</si>
  <si>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</si>
  <si>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</si>
  <si>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</si>
  <si>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</si>
  <si>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</si>
  <si>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</si>
  <si>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</si>
  <si>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</si>
  <si>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</si>
  <si>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</si>
  <si>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</si>
  <si>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</si>
  <si>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</si>
  <si>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</si>
  <si>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</si>
  <si>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</si>
  <si>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</si>
  <si>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</si>
  <si>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</si>
  <si>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</si>
  <si>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</si>
  <si>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</si>
  <si>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</si>
  <si>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</si>
  <si>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</si>
  <si>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</si>
  <si>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</si>
  <si>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</si>
  <si>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</si>
  <si>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</si>
  <si>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</si>
  <si>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</si>
  <si>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</si>
  <si>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</si>
  <si>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</si>
  <si>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</si>
  <si>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</si>
  <si>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</si>
  <si>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</si>
  <si>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</si>
  <si>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</si>
  <si>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</si>
  <si>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</si>
  <si>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</si>
  <si>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</si>
  <si>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</si>
  <si>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</si>
  <si>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</si>
  <si>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</si>
  <si>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</si>
  <si>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</si>
  <si>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</si>
  <si>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</si>
  <si>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</si>
  <si>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</si>
  <si>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</si>
  <si>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</si>
  <si>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</si>
  <si>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</si>
  <si>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</si>
  <si>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</si>
  <si>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</si>
  <si>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</si>
  <si>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</si>
  <si>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</si>
  <si>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</si>
  <si>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</si>
  <si>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</si>
  <si>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</si>
  <si>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</si>
  <si>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</si>
  <si>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</si>
  <si>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</si>
  <si>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</si>
  <si>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De acuerdo a la norma.</t>
  </si>
  <si>
    <t>Se cuenta con el levantamiento de procesos y procedimientos.</t>
  </si>
  <si>
    <t>No ha habido a la fecha.</t>
  </si>
  <si>
    <t>De acuerdo al plan anticorrupción, atención al ciudadano y rendición de la cuenta.</t>
  </si>
  <si>
    <t>cambios identificados</t>
  </si>
  <si>
    <t>Revisados según el mapa de riesgos de la entidad</t>
  </si>
  <si>
    <t>De acuerdo al plan anticorrupción.</t>
  </si>
  <si>
    <t>Reuniones para corregir.</t>
  </si>
  <si>
    <t>Establecido en actas.</t>
  </si>
  <si>
    <t>Mapa de riesgos.</t>
  </si>
  <si>
    <t>Elaborado y colgado en la pagina de la entidad</t>
  </si>
  <si>
    <t>Equipo de comunicaciones.</t>
  </si>
  <si>
    <t>Pagina de la entidad.</t>
  </si>
  <si>
    <t>Autoevaluaciones y auditorías internas.</t>
  </si>
  <si>
    <t>Planes de mejoramiento levantados y suscritos.</t>
  </si>
  <si>
    <t>Seguimientos llevados a cabo.</t>
  </si>
  <si>
    <t>Ambiente de control.</t>
  </si>
  <si>
    <t>Acordes con los procedimientos levantados.</t>
  </si>
  <si>
    <t>Cada proceso con sus procedimientos determinados.</t>
  </si>
  <si>
    <t>Actas de aprobación y documentos respectivos</t>
  </si>
  <si>
    <t>Códigos levantados y socializados proceso Gestion del Talento Humano</t>
  </si>
  <si>
    <t>De acuerdo al plan de acción, el cual se encuentra alineado con el Plan de Desarrollo Municipal y el Plan Decenal de Cultura.</t>
  </si>
  <si>
    <t>Organigrama de acuerdo a la planta de cargos.</t>
  </si>
  <si>
    <t>Falta actualizarlo</t>
  </si>
  <si>
    <t>Se elaboraron reuniones de inducción y reinducción y plan de bienestar de los funcionarios planeado.</t>
  </si>
  <si>
    <t>Elaborado por la líder de Gestión del Talento Humano de la entidad.</t>
  </si>
  <si>
    <t>De acuerdo a las fechas programadas</t>
  </si>
  <si>
    <t>Se hizo mantenimiento de redes</t>
  </si>
  <si>
    <t>Con cada líder se revisan las deviaciones posibles, según la sensibilidad.</t>
  </si>
  <si>
    <t>En las auditorias internas y en los procesos exporadicas de revisión.</t>
  </si>
  <si>
    <t>Cuando existe disponibilidad de espacios y de tiempos.</t>
  </si>
  <si>
    <t>Siempre estas decisiones pasan primero por lo interno.</t>
  </si>
  <si>
    <t>Se han definido en el mapa de riesgos.</t>
  </si>
  <si>
    <t>Se esta en proceso de verificación de la medición de los controles para evaluar su efectividad.</t>
  </si>
  <si>
    <t>En proceso de elaboración junto con los líderes de los procesos.</t>
  </si>
  <si>
    <t>Pagina de la entidad, plataformas de intercomunicación y redes sociales, manejadas por el equipo interno de la entidad.</t>
  </si>
  <si>
    <t>Información manejada de acuerdo a la normatividad vigente.</t>
  </si>
  <si>
    <t>Información debidamente ordenada y clasificada de acuerdo a los grupos de valor.</t>
  </si>
  <si>
    <t>Información debidamente identificada.</t>
  </si>
  <si>
    <t>Servidor y otros soportan los procesos.</t>
  </si>
  <si>
    <t>Considerando los planes que deben guiar la institución se hace una verificación frente a estos.</t>
  </si>
  <si>
    <t>Comité Municipal de Control Interno</t>
  </si>
  <si>
    <t>Los lideres de los procesos son conocedores de los riesgos y con ellos se realizan reuniones.</t>
  </si>
  <si>
    <t>Mejoramiento continuo de la entidad, en revision los procedimientos de los procesos.</t>
  </si>
  <si>
    <t>Todos los componentes están operando juntos y de manera integrada, lo que se puede comprobar en el desarrollo de las diferentes actividades sin ningún contratiempo y con alta calidad de desempeño.</t>
  </si>
  <si>
    <t>INSTITUTO MUNICIPAL DE CULTURA DE YUMBO</t>
  </si>
  <si>
    <t>JULIO A DICIEMBRE DE 2.024</t>
  </si>
  <si>
    <t>Se han definido una serie de roles y responsabilidades entre la alta dirección, los lideres de procesos con sus equipos de trabajo, Planeación y control interno, definiendo el esquema de lineas de defensa establecida en el Modelo integrado de Planeación y Gestión y el Sistema de Control interno. Cabe resaltar que aún la cultura en esta nueva metodología esta en proceso de fortalecimiento.</t>
  </si>
  <si>
    <t>En la entidad existe un buen ambiente para el desempeño de la oficina de Control Interno. 
Los líderes de proceso conocen bien sus procesos y se apropian de los mismos.
Se realizó el mapa de riesgos con la última versión.
Se debe realizar un seguimiento más exhaustivo a la efectividad de los controles.
Debe existir una planta de cargos más amplia que permita darle continuidad a los procesos.</t>
  </si>
  <si>
    <t xml:space="preserve">Los entes que prestan servicios culturales se encuentran identificados.
Los líderes de los procesos conocen bien su sector cultural e identifican muy bien los problemas o riesgos a los que están sometidos.
</t>
  </si>
  <si>
    <t xml:space="preserve">Mapa de riesgos definido de acuerdo a la última versión.
La rendición de cuentas a la ciudadanía se realiza sin contratiempos.
Se debe trabajar en los Planes de contingencia para establecer acciones en el caso de ocurrencia de los riesgos.
Trabajar en la actualización de los riesgos de corrupción.
</t>
  </si>
  <si>
    <t xml:space="preserve">Se cuenta con un personal idóneo, con la experiencia y experticia suficiente.
Los canales de comunicación establecidos son suficientes y claros.
Poca accesibilidad de la comunidad a los diferentes medios de comunicación que se tienen.
Poca participación de los grupos de valor en las actividades programadas.
</t>
  </si>
  <si>
    <t xml:space="preserve">Se efectúan revisiones periódicas a los procesos (con auditorías internas como con revisiones), de las cuales se generan los planes de mejoramiento.
Se mantienen informados los líderes de las acciones de mejora a realizar.
</t>
  </si>
  <si>
    <t>El sistema de Control Interno es efectivo, puesto que a través de las diferentes evaluaciones a los procesos y actividades que logran un mayor compromiso de los líderes de procesos y se detectan las falencias de cada uno de dichos procesos.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</si>
</sst>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60" x14ac:knownFonts="1">
    <font>
      <sz val="11"/>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name val="Arial Narrow"/>
      <family val="2"/>
    </font>
    <font>
      <sz val="15"/>
      <color theme="1"/>
      <name val="Arial Narrow"/>
      <family val="2"/>
    </font>
    <font>
      <sz val="8"/>
      <name val="Calibri"/>
      <family val="2"/>
      <scheme val="minor"/>
    </font>
    <font>
      <b/>
      <sz val="18"/>
      <color theme="1"/>
      <name val="Calibri"/>
      <family val="2"/>
      <scheme val="minor"/>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sz val="14"/>
      <color theme="1"/>
      <name val="Calibri"/>
      <family val="2"/>
      <scheme val="minor"/>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2"/>
      <name val="Arial"/>
      <family val="2"/>
    </font>
    <font>
      <sz val="14"/>
      <color theme="1"/>
      <name val="Arial"/>
      <family val="2"/>
    </font>
    <font>
      <sz val="12"/>
      <color rgb="FF000000"/>
      <name val="Arial Narrow"/>
      <family val="2"/>
    </font>
  </fonts>
  <fills count="1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97">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s>
  <cellStyleXfs count="5">
    <xf numFmtId="0" fontId="0" fillId="0" borderId="0"/>
    <xf numFmtId="9" fontId="3" fillId="0" borderId="0" applyFont="0" applyFill="0" applyBorder="0" applyAlignment="0" applyProtection="0"/>
    <xf numFmtId="0" fontId="21" fillId="0" borderId="0"/>
    <xf numFmtId="0" fontId="29" fillId="0" borderId="0"/>
    <xf numFmtId="0" fontId="33" fillId="0" borderId="0"/>
  </cellStyleXfs>
  <cellXfs count="328">
    <xf numFmtId="0" fontId="0" fillId="0" borderId="0" xfId="0"/>
    <xf numFmtId="0" fontId="0" fillId="4" borderId="0" xfId="0" applyFill="1"/>
    <xf numFmtId="0" fontId="0" fillId="4" borderId="15" xfId="0" applyFill="1" applyBorder="1"/>
    <xf numFmtId="0" fontId="0" fillId="4" borderId="16" xfId="0" applyFill="1" applyBorder="1"/>
    <xf numFmtId="0" fontId="0" fillId="4" borderId="17" xfId="0" applyFill="1" applyBorder="1"/>
    <xf numFmtId="0" fontId="0" fillId="4" borderId="18" xfId="0" applyFill="1" applyBorder="1"/>
    <xf numFmtId="0" fontId="0" fillId="4" borderId="0" xfId="0" applyFill="1" applyBorder="1"/>
    <xf numFmtId="0" fontId="7" fillId="4" borderId="0" xfId="0" applyFont="1" applyFill="1" applyBorder="1" applyAlignment="1">
      <alignment horizontal="center"/>
    </xf>
    <xf numFmtId="0" fontId="0" fillId="4" borderId="19" xfId="0" applyFill="1" applyBorder="1"/>
    <xf numFmtId="164" fontId="7" fillId="4" borderId="0" xfId="0" applyNumberFormat="1" applyFont="1" applyFill="1" applyBorder="1" applyAlignment="1">
      <alignment horizontal="center"/>
    </xf>
    <xf numFmtId="0" fontId="8" fillId="4" borderId="0" xfId="0" applyFont="1" applyFill="1" applyBorder="1" applyAlignment="1">
      <alignment vertical="center"/>
    </xf>
    <xf numFmtId="0" fontId="10" fillId="4" borderId="0" xfId="0" applyFont="1" applyFill="1" applyBorder="1" applyAlignment="1">
      <alignment horizontal="center" vertical="center"/>
    </xf>
    <xf numFmtId="0" fontId="11" fillId="4" borderId="0" xfId="0" applyFont="1" applyFill="1" applyBorder="1"/>
    <xf numFmtId="0" fontId="9" fillId="4" borderId="0"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0"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Alignment="1">
      <alignment wrapText="1"/>
    </xf>
    <xf numFmtId="0" fontId="0" fillId="0" borderId="0" xfId="0" applyBorder="1"/>
    <xf numFmtId="0" fontId="5" fillId="0" borderId="0" xfId="0" applyFont="1" applyFill="1" applyBorder="1" applyAlignment="1">
      <alignment vertical="center"/>
    </xf>
    <xf numFmtId="9" fontId="2" fillId="0" borderId="0" xfId="0" applyNumberFormat="1" applyFont="1" applyFill="1" applyBorder="1" applyAlignment="1">
      <alignment vertical="center"/>
    </xf>
    <xf numFmtId="0" fontId="2" fillId="4" borderId="19" xfId="0" applyFont="1" applyFill="1" applyBorder="1" applyAlignment="1">
      <alignment vertical="center"/>
    </xf>
    <xf numFmtId="0" fontId="2" fillId="4" borderId="0" xfId="0" applyFont="1" applyFill="1" applyBorder="1" applyAlignment="1">
      <alignment vertical="center"/>
    </xf>
    <xf numFmtId="0" fontId="0" fillId="0" borderId="0" xfId="0" applyFill="1" applyBorder="1"/>
    <xf numFmtId="0" fontId="0" fillId="0" borderId="3" xfId="0" applyBorder="1"/>
    <xf numFmtId="0" fontId="5" fillId="4" borderId="0" xfId="0" applyFont="1" applyFill="1" applyBorder="1" applyAlignment="1">
      <alignment vertical="center"/>
    </xf>
    <xf numFmtId="0" fontId="2" fillId="4" borderId="0" xfId="0" applyFont="1" applyFill="1" applyBorder="1" applyAlignment="1">
      <alignment horizontal="left" vertical="center"/>
    </xf>
    <xf numFmtId="0" fontId="15" fillId="4" borderId="0" xfId="0" applyFont="1" applyFill="1" applyBorder="1" applyAlignment="1">
      <alignment vertical="center"/>
    </xf>
    <xf numFmtId="0" fontId="16" fillId="4" borderId="0" xfId="0" applyFont="1" applyFill="1" applyBorder="1"/>
    <xf numFmtId="0" fontId="0" fillId="4" borderId="32" xfId="0" applyFill="1" applyBorder="1"/>
    <xf numFmtId="0" fontId="0" fillId="4" borderId="33" xfId="0" applyFill="1" applyBorder="1"/>
    <xf numFmtId="0" fontId="0" fillId="4" borderId="34" xfId="0" applyFill="1" applyBorder="1"/>
    <xf numFmtId="0" fontId="20" fillId="0" borderId="0" xfId="0" applyFont="1" applyBorder="1" applyAlignment="1">
      <alignment horizontal="center" wrapText="1"/>
    </xf>
    <xf numFmtId="0" fontId="5" fillId="4" borderId="0" xfId="0" applyFont="1" applyFill="1" applyBorder="1" applyAlignment="1">
      <alignment horizontal="center" vertical="center" wrapText="1"/>
    </xf>
    <xf numFmtId="0" fontId="4" fillId="4" borderId="0" xfId="0" applyFont="1" applyFill="1" applyBorder="1"/>
    <xf numFmtId="0" fontId="5" fillId="4" borderId="0" xfId="0" applyFont="1" applyFill="1" applyBorder="1" applyAlignment="1">
      <alignment horizontal="left" vertical="center"/>
    </xf>
    <xf numFmtId="9" fontId="5" fillId="4" borderId="0" xfId="0" applyNumberFormat="1" applyFont="1" applyFill="1" applyBorder="1" applyAlignment="1">
      <alignment horizontal="center" vertical="center"/>
    </xf>
    <xf numFmtId="0" fontId="4" fillId="4" borderId="0" xfId="0" applyFont="1" applyFill="1" applyBorder="1" applyAlignment="1">
      <alignment horizontal="left"/>
    </xf>
    <xf numFmtId="0" fontId="22" fillId="0" borderId="0" xfId="2" applyFont="1" applyFill="1" applyAlignment="1" applyProtection="1">
      <alignment vertical="center"/>
      <protection locked="0"/>
    </xf>
    <xf numFmtId="49" fontId="24" fillId="4" borderId="0" xfId="2" applyNumberFormat="1" applyFont="1" applyFill="1" applyAlignment="1" applyProtection="1">
      <alignment vertical="center"/>
      <protection locked="0"/>
    </xf>
    <xf numFmtId="0" fontId="24" fillId="4" borderId="0" xfId="2" applyFont="1" applyFill="1" applyAlignment="1" applyProtection="1">
      <alignment vertical="center"/>
      <protection locked="0"/>
    </xf>
    <xf numFmtId="9" fontId="26" fillId="4" borderId="0" xfId="2" applyNumberFormat="1" applyFont="1" applyFill="1" applyAlignment="1" applyProtection="1">
      <alignment vertical="center"/>
      <protection locked="0"/>
    </xf>
    <xf numFmtId="9" fontId="22" fillId="4" borderId="0" xfId="1" applyFont="1" applyFill="1" applyAlignment="1" applyProtection="1">
      <alignment vertical="center"/>
      <protection locked="0"/>
    </xf>
    <xf numFmtId="9" fontId="22" fillId="4" borderId="0" xfId="2" applyNumberFormat="1" applyFont="1" applyFill="1" applyAlignment="1" applyProtection="1">
      <alignment vertical="center"/>
      <protection locked="0"/>
    </xf>
    <xf numFmtId="0" fontId="26" fillId="4" borderId="0" xfId="2" applyFont="1" applyFill="1" applyAlignment="1" applyProtection="1">
      <alignment vertical="center"/>
      <protection locked="0"/>
    </xf>
    <xf numFmtId="0" fontId="26" fillId="0" borderId="0" xfId="3" applyFont="1" applyProtection="1"/>
    <xf numFmtId="0" fontId="7" fillId="4" borderId="0" xfId="0" applyFont="1" applyFill="1"/>
    <xf numFmtId="0" fontId="7" fillId="0" borderId="0" xfId="0" applyFont="1"/>
    <xf numFmtId="0" fontId="36" fillId="0" borderId="0" xfId="0" applyFont="1" applyAlignment="1">
      <alignment vertical="top"/>
    </xf>
    <xf numFmtId="49" fontId="36" fillId="0" borderId="0" xfId="0" applyNumberFormat="1" applyFont="1" applyAlignment="1">
      <alignment horizontal="center" vertical="top"/>
    </xf>
    <xf numFmtId="0" fontId="22" fillId="4" borderId="0" xfId="2" applyFont="1" applyFill="1" applyAlignment="1" applyProtection="1">
      <alignment vertical="center"/>
      <protection locked="0"/>
    </xf>
    <xf numFmtId="0" fontId="26" fillId="4" borderId="0" xfId="3" applyFont="1" applyFill="1" applyBorder="1" applyProtection="1"/>
    <xf numFmtId="0" fontId="26" fillId="4" borderId="57" xfId="3" applyFont="1" applyFill="1" applyBorder="1" applyAlignment="1" applyProtection="1">
      <alignment vertical="top" wrapText="1"/>
    </xf>
    <xf numFmtId="0" fontId="26" fillId="4" borderId="0" xfId="3" applyFont="1" applyFill="1" applyBorder="1" applyAlignment="1" applyProtection="1">
      <alignment vertical="top" wrapText="1"/>
    </xf>
    <xf numFmtId="0" fontId="26" fillId="4" borderId="58" xfId="3" applyFont="1" applyFill="1" applyBorder="1" applyAlignment="1" applyProtection="1">
      <alignment vertical="top" wrapText="1"/>
    </xf>
    <xf numFmtId="0" fontId="26" fillId="4" borderId="57" xfId="3" applyFont="1" applyFill="1" applyBorder="1" applyAlignment="1" applyProtection="1">
      <alignment horizontal="left" vertical="top"/>
    </xf>
    <xf numFmtId="0" fontId="26" fillId="4" borderId="58" xfId="3" applyFont="1" applyFill="1" applyBorder="1" applyAlignment="1" applyProtection="1">
      <alignment horizontal="left" vertical="top"/>
    </xf>
    <xf numFmtId="0" fontId="26" fillId="4" borderId="57" xfId="3" applyFont="1" applyFill="1" applyBorder="1" applyProtection="1"/>
    <xf numFmtId="0" fontId="34" fillId="4" borderId="0" xfId="4" applyFont="1" applyFill="1" applyBorder="1" applyAlignment="1" applyProtection="1">
      <alignment horizontal="left" vertical="top" wrapText="1" readingOrder="1"/>
    </xf>
    <xf numFmtId="0" fontId="26" fillId="4" borderId="58" xfId="3" applyFont="1" applyFill="1" applyBorder="1" applyProtection="1"/>
    <xf numFmtId="0" fontId="26" fillId="4" borderId="70" xfId="3" applyFont="1" applyFill="1" applyBorder="1" applyProtection="1"/>
    <xf numFmtId="0" fontId="26" fillId="4" borderId="71" xfId="3" applyFont="1" applyFill="1" applyBorder="1" applyProtection="1"/>
    <xf numFmtId="0" fontId="26" fillId="4" borderId="72" xfId="3" applyFont="1" applyFill="1" applyBorder="1" applyProtection="1"/>
    <xf numFmtId="0" fontId="34" fillId="4" borderId="0" xfId="0" applyFont="1" applyFill="1" applyBorder="1" applyAlignment="1" applyProtection="1">
      <alignment horizontal="left" vertical="center" wrapText="1"/>
    </xf>
    <xf numFmtId="0" fontId="35" fillId="4" borderId="0" xfId="0" applyFont="1" applyFill="1" applyBorder="1" applyAlignment="1" applyProtection="1">
      <alignment horizontal="left" vertical="top" wrapText="1"/>
    </xf>
    <xf numFmtId="0" fontId="26" fillId="4" borderId="0" xfId="3" quotePrefix="1" applyFont="1" applyFill="1" applyBorder="1" applyAlignment="1" applyProtection="1">
      <alignment horizontal="left" vertical="center" wrapText="1"/>
    </xf>
    <xf numFmtId="0" fontId="26" fillId="4" borderId="58" xfId="3" applyFont="1" applyFill="1" applyBorder="1" applyAlignment="1" applyProtection="1"/>
    <xf numFmtId="0" fontId="32" fillId="4" borderId="0" xfId="3" applyFont="1" applyFill="1" applyBorder="1" applyAlignment="1" applyProtection="1">
      <alignment horizontal="left" vertical="center" wrapText="1"/>
    </xf>
    <xf numFmtId="0" fontId="26" fillId="4" borderId="0" xfId="3" applyFont="1" applyFill="1" applyBorder="1" applyAlignment="1" applyProtection="1">
      <alignment horizontal="left" vertical="center" wrapText="1"/>
    </xf>
    <xf numFmtId="0" fontId="7" fillId="4" borderId="0" xfId="0" applyFont="1" applyFill="1" applyAlignment="1">
      <alignment vertical="center"/>
    </xf>
    <xf numFmtId="0" fontId="7" fillId="0" borderId="0" xfId="0" applyFont="1" applyAlignment="1">
      <alignment vertical="center"/>
    </xf>
    <xf numFmtId="0" fontId="8" fillId="4" borderId="0" xfId="0" applyFont="1" applyFill="1"/>
    <xf numFmtId="0" fontId="8" fillId="4" borderId="0" xfId="0" applyNumberFormat="1" applyFont="1" applyFill="1"/>
    <xf numFmtId="0" fontId="8" fillId="0" borderId="0" xfId="0" applyFont="1" applyAlignment="1">
      <alignment vertical="top"/>
    </xf>
    <xf numFmtId="0" fontId="8" fillId="0" borderId="0" xfId="0" applyNumberFormat="1" applyFont="1" applyAlignment="1">
      <alignment vertical="top"/>
    </xf>
    <xf numFmtId="0" fontId="8" fillId="0" borderId="0" xfId="0" applyNumberFormat="1" applyFont="1"/>
    <xf numFmtId="0" fontId="46" fillId="0" borderId="3"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3"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50" fillId="0" borderId="0" xfId="0" applyFont="1" applyBorder="1" applyAlignment="1">
      <alignment horizontal="center" wrapText="1"/>
    </xf>
    <xf numFmtId="0" fontId="9" fillId="15"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51" fillId="2" borderId="3" xfId="0" applyFont="1" applyFill="1" applyBorder="1" applyAlignment="1">
      <alignment horizontal="center" vertical="center"/>
    </xf>
    <xf numFmtId="0" fontId="42" fillId="0" borderId="3" xfId="0" applyFont="1" applyFill="1" applyBorder="1" applyAlignment="1">
      <alignment horizontal="center" vertical="center"/>
    </xf>
    <xf numFmtId="0" fontId="53" fillId="0" borderId="0" xfId="0" applyFont="1" applyBorder="1" applyAlignment="1">
      <alignment horizontal="center"/>
    </xf>
    <xf numFmtId="0" fontId="52" fillId="12" borderId="29"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25" fillId="4" borderId="0" xfId="2" applyNumberFormat="1" applyFont="1" applyFill="1" applyBorder="1" applyAlignment="1" applyProtection="1">
      <alignment vertical="center" wrapText="1"/>
    </xf>
    <xf numFmtId="0" fontId="35" fillId="4" borderId="0" xfId="2" applyFont="1" applyFill="1" applyBorder="1" applyAlignment="1" applyProtection="1">
      <alignment vertical="center" wrapText="1"/>
    </xf>
    <xf numFmtId="0" fontId="36" fillId="0" borderId="0" xfId="0" applyNumberFormat="1" applyFont="1" applyAlignment="1" applyProtection="1">
      <alignment horizontal="center" vertical="top"/>
      <protection hidden="1"/>
    </xf>
    <xf numFmtId="0" fontId="8" fillId="0" borderId="0" xfId="0" applyNumberFormat="1" applyFont="1" applyAlignment="1" applyProtection="1">
      <alignment horizontal="center" vertical="top"/>
      <protection hidden="1"/>
    </xf>
    <xf numFmtId="0" fontId="39" fillId="0" borderId="9" xfId="0" applyFont="1" applyFill="1" applyBorder="1" applyAlignment="1" applyProtection="1">
      <alignment horizontal="center" vertical="center" wrapText="1"/>
      <protection hidden="1"/>
    </xf>
    <xf numFmtId="49" fontId="8" fillId="0" borderId="0" xfId="0" applyNumberFormat="1" applyFont="1" applyAlignment="1" applyProtection="1">
      <alignment horizontal="center" vertical="top"/>
      <protection hidden="1"/>
    </xf>
    <xf numFmtId="0" fontId="38" fillId="0" borderId="9" xfId="0" applyFont="1" applyBorder="1" applyAlignment="1" applyProtection="1">
      <alignment horizontal="center" vertical="center" wrapText="1"/>
      <protection hidden="1"/>
    </xf>
    <xf numFmtId="0" fontId="38" fillId="0" borderId="78" xfId="0" applyFont="1" applyBorder="1" applyAlignment="1" applyProtection="1">
      <alignment horizontal="center" vertical="center" wrapText="1"/>
      <protection hidden="1"/>
    </xf>
    <xf numFmtId="0" fontId="8" fillId="0" borderId="0" xfId="0" applyNumberFormat="1" applyFont="1" applyAlignment="1" applyProtection="1">
      <alignment vertical="top"/>
      <protection hidden="1"/>
    </xf>
    <xf numFmtId="0" fontId="43" fillId="0" borderId="3" xfId="0" applyFont="1" applyFill="1" applyBorder="1" applyAlignment="1" applyProtection="1">
      <alignment horizontal="center" vertical="center" wrapText="1"/>
      <protection locked="0"/>
    </xf>
    <xf numFmtId="0" fontId="43" fillId="0" borderId="3" xfId="0" applyFont="1" applyBorder="1" applyAlignment="1" applyProtection="1">
      <alignment horizontal="center" vertical="center" wrapText="1"/>
      <protection locked="0"/>
    </xf>
    <xf numFmtId="0" fontId="43" fillId="0" borderId="4" xfId="0" applyFont="1" applyBorder="1" applyAlignment="1" applyProtection="1">
      <alignment horizontal="center" vertical="center" wrapText="1"/>
      <protection locked="0"/>
    </xf>
    <xf numFmtId="0" fontId="19" fillId="2" borderId="80" xfId="2" applyFont="1" applyFill="1" applyBorder="1" applyAlignment="1" applyProtection="1">
      <alignment horizontal="center" vertical="center"/>
    </xf>
    <xf numFmtId="0" fontId="19" fillId="2" borderId="80" xfId="2" applyFont="1" applyFill="1" applyBorder="1" applyAlignment="1" applyProtection="1">
      <alignment horizontal="center" vertical="center" wrapText="1"/>
    </xf>
    <xf numFmtId="0" fontId="1"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40" fillId="0" borderId="82" xfId="0" applyFont="1" applyFill="1" applyBorder="1" applyAlignment="1" applyProtection="1">
      <alignment vertical="center" wrapText="1"/>
      <protection hidden="1"/>
    </xf>
    <xf numFmtId="0" fontId="0" fillId="0" borderId="3" xfId="0" applyBorder="1" applyAlignment="1" applyProtection="1">
      <alignment horizontal="center" vertical="center"/>
      <protection hidden="1"/>
    </xf>
    <xf numFmtId="0" fontId="40" fillId="0" borderId="83" xfId="0" applyFont="1" applyFill="1" applyBorder="1" applyAlignment="1" applyProtection="1">
      <alignment vertical="center" wrapText="1"/>
      <protection hidden="1"/>
    </xf>
    <xf numFmtId="0" fontId="0" fillId="0" borderId="4" xfId="0" applyBorder="1" applyAlignment="1" applyProtection="1">
      <alignment horizontal="center" vertical="center"/>
      <protection hidden="1"/>
    </xf>
    <xf numFmtId="0" fontId="40" fillId="0" borderId="84" xfId="0" applyFont="1" applyFill="1" applyBorder="1" applyAlignment="1" applyProtection="1">
      <alignment vertical="center" wrapText="1"/>
      <protection hidden="1"/>
    </xf>
    <xf numFmtId="0" fontId="0" fillId="0" borderId="7" xfId="0" applyBorder="1" applyAlignment="1" applyProtection="1">
      <alignment horizontal="center" vertical="center"/>
      <protection hidden="1"/>
    </xf>
    <xf numFmtId="0" fontId="40" fillId="0" borderId="5" xfId="0" applyFont="1" applyFill="1" applyBorder="1" applyAlignment="1" applyProtection="1">
      <alignment vertical="center" wrapText="1"/>
      <protection hidden="1"/>
    </xf>
    <xf numFmtId="0" fontId="0" fillId="0" borderId="6" xfId="0" applyBorder="1" applyAlignment="1" applyProtection="1">
      <alignment horizontal="center" vertical="center"/>
      <protection hidden="1"/>
    </xf>
    <xf numFmtId="0" fontId="40" fillId="0" borderId="6" xfId="0" applyFont="1" applyFill="1" applyBorder="1" applyAlignment="1" applyProtection="1">
      <alignment vertical="center" wrapText="1"/>
      <protection hidden="1"/>
    </xf>
    <xf numFmtId="0" fontId="40" fillId="0" borderId="3" xfId="0" applyFont="1" applyFill="1" applyBorder="1" applyAlignment="1" applyProtection="1">
      <alignment vertical="center" wrapText="1"/>
      <protection hidden="1"/>
    </xf>
    <xf numFmtId="0" fontId="40" fillId="0" borderId="7" xfId="0" applyFont="1" applyFill="1" applyBorder="1" applyAlignment="1" applyProtection="1">
      <alignment vertical="center" wrapText="1"/>
      <protection hidden="1"/>
    </xf>
    <xf numFmtId="0" fontId="48" fillId="0" borderId="20" xfId="0" applyFont="1" applyBorder="1" applyAlignment="1" applyProtection="1">
      <alignment horizontal="center" vertical="center"/>
      <protection hidden="1"/>
    </xf>
    <xf numFmtId="9" fontId="0" fillId="0" borderId="88" xfId="0" applyNumberFormat="1" applyBorder="1" applyAlignment="1" applyProtection="1">
      <alignment horizontal="center" vertical="center"/>
      <protection hidden="1"/>
    </xf>
    <xf numFmtId="9" fontId="0" fillId="0" borderId="89" xfId="0" applyNumberForma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2" fillId="2" borderId="24" xfId="0" applyNumberFormat="1" applyFont="1" applyFill="1" applyBorder="1" applyAlignment="1" applyProtection="1">
      <alignment horizontal="center" vertical="center"/>
      <protection hidden="1"/>
    </xf>
    <xf numFmtId="0" fontId="42" fillId="0" borderId="3" xfId="0" applyFont="1" applyFill="1" applyBorder="1" applyAlignment="1" applyProtection="1">
      <alignment horizontal="center" vertical="center"/>
      <protection hidden="1"/>
    </xf>
    <xf numFmtId="9" fontId="14" fillId="14" borderId="3" xfId="0" applyNumberFormat="1" applyFont="1" applyFill="1" applyBorder="1" applyAlignment="1" applyProtection="1">
      <alignment horizontal="center" vertical="center"/>
      <protection hidden="1"/>
    </xf>
    <xf numFmtId="49" fontId="55" fillId="4" borderId="3" xfId="0" applyNumberFormat="1" applyFont="1" applyFill="1" applyBorder="1" applyAlignment="1" applyProtection="1">
      <alignment horizontal="center" vertical="center" wrapText="1"/>
      <protection locked="0"/>
    </xf>
    <xf numFmtId="49" fontId="18" fillId="5" borderId="7" xfId="0" applyNumberFormat="1"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8" fillId="5" borderId="79"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0" fontId="30" fillId="0" borderId="56" xfId="3" applyFont="1" applyBorder="1" applyAlignment="1" applyProtection="1">
      <alignment horizontal="center" vertical="center" wrapText="1"/>
    </xf>
    <xf numFmtId="0" fontId="30" fillId="0" borderId="53" xfId="3" applyFont="1" applyBorder="1" applyAlignment="1" applyProtection="1">
      <alignment horizontal="center" vertical="center" wrapText="1"/>
    </xf>
    <xf numFmtId="0" fontId="30" fillId="0" borderId="8" xfId="3" applyFont="1" applyBorder="1" applyAlignment="1" applyProtection="1">
      <alignment horizontal="center" vertical="center" wrapText="1"/>
    </xf>
    <xf numFmtId="0" fontId="26" fillId="0" borderId="57" xfId="3" quotePrefix="1" applyFont="1" applyBorder="1" applyAlignment="1" applyProtection="1">
      <alignment horizontal="left" vertical="center" wrapText="1"/>
    </xf>
    <xf numFmtId="0" fontId="26" fillId="0" borderId="0" xfId="3" quotePrefix="1" applyFont="1" applyBorder="1" applyAlignment="1" applyProtection="1">
      <alignment horizontal="left" vertical="center" wrapText="1"/>
    </xf>
    <xf numFmtId="0" fontId="26" fillId="0" borderId="58" xfId="3" quotePrefix="1" applyFont="1" applyBorder="1" applyAlignment="1" applyProtection="1">
      <alignment horizontal="left" vertical="center" wrapText="1"/>
    </xf>
    <xf numFmtId="0" fontId="31" fillId="4" borderId="57" xfId="3" quotePrefix="1" applyFont="1" applyFill="1" applyBorder="1" applyAlignment="1" applyProtection="1">
      <alignment horizontal="left" vertical="top" wrapText="1"/>
    </xf>
    <xf numFmtId="0" fontId="25" fillId="4" borderId="0" xfId="3" quotePrefix="1" applyFont="1" applyFill="1" applyBorder="1" applyAlignment="1" applyProtection="1">
      <alignment horizontal="left" vertical="top" wrapText="1"/>
    </xf>
    <xf numFmtId="0" fontId="25" fillId="4" borderId="58" xfId="3" quotePrefix="1" applyFont="1" applyFill="1" applyBorder="1" applyAlignment="1" applyProtection="1">
      <alignment horizontal="left" vertical="top" wrapText="1"/>
    </xf>
    <xf numFmtId="0" fontId="26" fillId="4" borderId="57" xfId="3" quotePrefix="1" applyFont="1" applyFill="1" applyBorder="1" applyAlignment="1" applyProtection="1">
      <alignment horizontal="left" vertical="top" wrapText="1"/>
    </xf>
    <xf numFmtId="0" fontId="26" fillId="4" borderId="0" xfId="3" quotePrefix="1" applyFont="1" applyFill="1" applyBorder="1" applyAlignment="1" applyProtection="1">
      <alignment horizontal="left" vertical="top" wrapText="1"/>
    </xf>
    <xf numFmtId="0" fontId="26" fillId="4" borderId="58" xfId="3" quotePrefix="1" applyFont="1" applyFill="1" applyBorder="1" applyAlignment="1" applyProtection="1">
      <alignment horizontal="left" vertical="top" wrapText="1"/>
    </xf>
    <xf numFmtId="0" fontId="34" fillId="16" borderId="59" xfId="4" applyFont="1" applyFill="1" applyBorder="1" applyAlignment="1" applyProtection="1">
      <alignment horizontal="center" vertical="center" wrapText="1"/>
    </xf>
    <xf numFmtId="0" fontId="34" fillId="16" borderId="60" xfId="4" applyFont="1" applyFill="1" applyBorder="1" applyAlignment="1" applyProtection="1">
      <alignment horizontal="center" vertical="center" wrapText="1"/>
    </xf>
    <xf numFmtId="0" fontId="34" fillId="16" borderId="61" xfId="3" applyFont="1" applyFill="1" applyBorder="1" applyAlignment="1" applyProtection="1">
      <alignment horizontal="center" vertical="center"/>
    </xf>
    <xf numFmtId="0" fontId="34" fillId="16" borderId="62" xfId="3" applyFont="1" applyFill="1" applyBorder="1" applyAlignment="1" applyProtection="1">
      <alignment horizontal="center" vertical="center"/>
    </xf>
    <xf numFmtId="0" fontId="34" fillId="4" borderId="73" xfId="4" applyFont="1" applyFill="1" applyBorder="1" applyAlignment="1" applyProtection="1">
      <alignment horizontal="left" vertical="center" wrapText="1" readingOrder="1"/>
    </xf>
    <xf numFmtId="0" fontId="34" fillId="4" borderId="74" xfId="4" applyFont="1" applyFill="1" applyBorder="1" applyAlignment="1" applyProtection="1">
      <alignment horizontal="left" vertical="center" wrapText="1" readingOrder="1"/>
    </xf>
    <xf numFmtId="0" fontId="35" fillId="0" borderId="63" xfId="3" applyFont="1" applyFill="1" applyBorder="1" applyAlignment="1" applyProtection="1">
      <alignment horizontal="left" vertical="center" wrapText="1"/>
    </xf>
    <xf numFmtId="0" fontId="35" fillId="0" borderId="64" xfId="3" applyFont="1" applyFill="1" applyBorder="1" applyAlignment="1" applyProtection="1">
      <alignment horizontal="left" vertical="center" wrapText="1"/>
    </xf>
    <xf numFmtId="0" fontId="34" fillId="4" borderId="65" xfId="0" applyFont="1" applyFill="1" applyBorder="1" applyAlignment="1" applyProtection="1">
      <alignment horizontal="left" vertical="center" wrapText="1"/>
    </xf>
    <xf numFmtId="0" fontId="34" fillId="4" borderId="66" xfId="0" applyFont="1" applyFill="1" applyBorder="1" applyAlignment="1" applyProtection="1">
      <alignment horizontal="left" vertical="center" wrapText="1"/>
    </xf>
    <xf numFmtId="0" fontId="35" fillId="0" borderId="67" xfId="3" applyFont="1" applyFill="1" applyBorder="1" applyAlignment="1" applyProtection="1">
      <alignment horizontal="left" vertical="center" wrapText="1"/>
    </xf>
    <xf numFmtId="0" fontId="35" fillId="0" borderId="68" xfId="3" applyFont="1" applyFill="1" applyBorder="1" applyAlignment="1" applyProtection="1">
      <alignment horizontal="left" vertical="center" wrapText="1"/>
    </xf>
    <xf numFmtId="0" fontId="35" fillId="0" borderId="67" xfId="3" applyFont="1" applyFill="1" applyBorder="1" applyAlignment="1" applyProtection="1">
      <alignment horizontal="left" vertical="top" wrapText="1"/>
    </xf>
    <xf numFmtId="0" fontId="35" fillId="0" borderId="68" xfId="3" applyFont="1" applyFill="1" applyBorder="1" applyAlignment="1" applyProtection="1">
      <alignment horizontal="left" vertical="top" wrapText="1"/>
    </xf>
    <xf numFmtId="0" fontId="26" fillId="4" borderId="57" xfId="3" applyFont="1" applyFill="1" applyBorder="1" applyAlignment="1" applyProtection="1">
      <alignment horizontal="left" vertical="top" wrapText="1"/>
    </xf>
    <xf numFmtId="0" fontId="26" fillId="4" borderId="0" xfId="3" applyFont="1" applyFill="1" applyBorder="1" applyAlignment="1" applyProtection="1">
      <alignment horizontal="left" vertical="top" wrapText="1"/>
    </xf>
    <xf numFmtId="0" fontId="26" fillId="4" borderId="58" xfId="3" applyFont="1" applyFill="1" applyBorder="1" applyAlignment="1" applyProtection="1">
      <alignment horizontal="left" vertical="top" wrapText="1"/>
    </xf>
    <xf numFmtId="0" fontId="26" fillId="4" borderId="0" xfId="3" applyFont="1" applyFill="1" applyBorder="1" applyAlignment="1" applyProtection="1"/>
    <xf numFmtId="0" fontId="34" fillId="4" borderId="75" xfId="0" applyFont="1" applyFill="1" applyBorder="1" applyAlignment="1" applyProtection="1">
      <alignment horizontal="left" vertical="center" wrapText="1"/>
    </xf>
    <xf numFmtId="0" fontId="34" fillId="4" borderId="76" xfId="0" applyFont="1" applyFill="1" applyBorder="1" applyAlignment="1" applyProtection="1">
      <alignment horizontal="left" vertical="center" wrapText="1"/>
    </xf>
    <xf numFmtId="0" fontId="17" fillId="2" borderId="42" xfId="2" applyNumberFormat="1" applyFont="1" applyFill="1" applyBorder="1" applyAlignment="1" applyProtection="1">
      <alignment horizontal="center" vertical="center" wrapText="1"/>
    </xf>
    <xf numFmtId="0" fontId="17" fillId="2" borderId="43" xfId="2" applyNumberFormat="1" applyFont="1" applyFill="1" applyBorder="1" applyAlignment="1" applyProtection="1">
      <alignment horizontal="center" vertical="center" wrapText="1"/>
    </xf>
    <xf numFmtId="0" fontId="25" fillId="7" borderId="48" xfId="2" applyNumberFormat="1" applyFont="1" applyFill="1" applyBorder="1" applyAlignment="1" applyProtection="1">
      <alignment horizontal="center" vertical="center"/>
    </xf>
    <xf numFmtId="0" fontId="25" fillId="7" borderId="49" xfId="2" applyNumberFormat="1" applyFont="1" applyFill="1" applyBorder="1" applyAlignment="1" applyProtection="1">
      <alignment horizontal="center" vertical="center"/>
    </xf>
    <xf numFmtId="0" fontId="26" fillId="0" borderId="54" xfId="2" applyFont="1" applyFill="1" applyBorder="1" applyAlignment="1" applyProtection="1">
      <alignment horizontal="justify" vertical="center" wrapText="1"/>
    </xf>
    <xf numFmtId="0" fontId="26" fillId="0" borderId="55" xfId="2" applyFont="1" applyFill="1" applyBorder="1" applyAlignment="1" applyProtection="1">
      <alignment horizontal="justify" vertical="center" wrapText="1"/>
    </xf>
    <xf numFmtId="0" fontId="25" fillId="8" borderId="50" xfId="2" applyNumberFormat="1" applyFont="1" applyFill="1" applyBorder="1" applyAlignment="1" applyProtection="1">
      <alignment horizontal="center" vertical="center" wrapText="1"/>
    </xf>
    <xf numFmtId="0" fontId="25" fillId="8" borderId="51" xfId="2" applyNumberFormat="1" applyFont="1" applyFill="1" applyBorder="1" applyAlignment="1" applyProtection="1">
      <alignment horizontal="center" vertical="center"/>
    </xf>
    <xf numFmtId="0" fontId="26" fillId="0" borderId="51" xfId="2" applyFont="1" applyFill="1" applyBorder="1" applyAlignment="1" applyProtection="1">
      <alignment horizontal="justify" vertical="center" wrapText="1"/>
    </xf>
    <xf numFmtId="0" fontId="26" fillId="0" borderId="52" xfId="2" applyFont="1" applyFill="1" applyBorder="1" applyAlignment="1" applyProtection="1">
      <alignment horizontal="justify" vertical="center" wrapText="1"/>
    </xf>
    <xf numFmtId="0" fontId="37" fillId="4" borderId="69" xfId="2" applyNumberFormat="1" applyFont="1" applyFill="1" applyBorder="1" applyAlignment="1" applyProtection="1">
      <alignment horizontal="center" vertical="center" wrapText="1"/>
    </xf>
    <xf numFmtId="0" fontId="24" fillId="4" borderId="69" xfId="2" applyFont="1" applyFill="1" applyBorder="1" applyAlignment="1" applyProtection="1">
      <alignment horizontal="center" vertical="center" wrapText="1"/>
    </xf>
    <xf numFmtId="0" fontId="17" fillId="2" borderId="44" xfId="2" applyNumberFormat="1" applyFont="1" applyFill="1" applyBorder="1" applyAlignment="1" applyProtection="1">
      <alignment horizontal="center" vertical="center" wrapText="1"/>
    </xf>
    <xf numFmtId="0" fontId="25" fillId="14" borderId="45" xfId="2" applyNumberFormat="1" applyFont="1" applyFill="1" applyBorder="1" applyAlignment="1" applyProtection="1">
      <alignment horizontal="center" vertical="center"/>
    </xf>
    <xf numFmtId="0" fontId="25" fillId="14" borderId="46" xfId="2" applyNumberFormat="1" applyFont="1" applyFill="1" applyBorder="1" applyAlignment="1" applyProtection="1">
      <alignment horizontal="center" vertical="center"/>
    </xf>
    <xf numFmtId="0" fontId="26" fillId="0" borderId="46" xfId="2" applyFont="1" applyFill="1" applyBorder="1" applyAlignment="1" applyProtection="1">
      <alignment horizontal="justify" vertical="center" wrapText="1"/>
    </xf>
    <xf numFmtId="0" fontId="26" fillId="0" borderId="47" xfId="2" applyFont="1" applyFill="1" applyBorder="1" applyAlignment="1" applyProtection="1">
      <alignment horizontal="justify" vertical="center" wrapText="1"/>
    </xf>
    <xf numFmtId="49" fontId="44" fillId="9" borderId="13" xfId="0" applyNumberFormat="1" applyFont="1" applyFill="1" applyBorder="1" applyAlignment="1">
      <alignment horizontal="center" vertical="center" wrapText="1"/>
    </xf>
    <xf numFmtId="49" fontId="44" fillId="9" borderId="14" xfId="0" applyNumberFormat="1" applyFont="1" applyFill="1" applyBorder="1" applyAlignment="1">
      <alignment horizontal="center" vertical="center" wrapText="1"/>
    </xf>
    <xf numFmtId="49" fontId="44" fillId="6" borderId="11" xfId="0" applyNumberFormat="1" applyFont="1" applyFill="1" applyBorder="1" applyAlignment="1">
      <alignment horizontal="center" vertical="center" wrapText="1"/>
    </xf>
    <xf numFmtId="49" fontId="44" fillId="10" borderId="11" xfId="0" applyNumberFormat="1" applyFont="1" applyFill="1" applyBorder="1" applyAlignment="1">
      <alignment horizontal="center" vertical="center" wrapText="1"/>
    </xf>
    <xf numFmtId="49" fontId="44" fillId="2" borderId="11" xfId="0" applyNumberFormat="1" applyFont="1" applyFill="1" applyBorder="1" applyAlignment="1">
      <alignment horizontal="center" vertical="center" wrapText="1"/>
    </xf>
    <xf numFmtId="49" fontId="44" fillId="11" borderId="11"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49" fontId="44" fillId="10" borderId="3" xfId="0" applyNumberFormat="1" applyFont="1" applyFill="1" applyBorder="1" applyAlignment="1">
      <alignment horizontal="center" vertical="center" wrapText="1"/>
    </xf>
    <xf numFmtId="49" fontId="44" fillId="10" borderId="13" xfId="0" applyNumberFormat="1" applyFont="1" applyFill="1" applyBorder="1" applyAlignment="1">
      <alignment horizontal="center" vertical="center" wrapText="1"/>
    </xf>
    <xf numFmtId="49" fontId="44" fillId="2" borderId="13" xfId="0" applyNumberFormat="1" applyFont="1" applyFill="1" applyBorder="1" applyAlignment="1">
      <alignment horizontal="center" vertical="center" wrapText="1"/>
    </xf>
    <xf numFmtId="49" fontId="44" fillId="11" borderId="13" xfId="0" applyNumberFormat="1" applyFont="1" applyFill="1" applyBorder="1" applyAlignment="1">
      <alignment horizontal="center" vertical="center" wrapText="1"/>
    </xf>
    <xf numFmtId="49" fontId="8" fillId="6" borderId="13" xfId="0" applyNumberFormat="1" applyFont="1" applyFill="1" applyBorder="1" applyAlignment="1">
      <alignment horizontal="center" vertical="center" wrapText="1"/>
    </xf>
    <xf numFmtId="49" fontId="8" fillId="10" borderId="13" xfId="0" applyNumberFormat="1" applyFont="1" applyFill="1" applyBorder="1" applyAlignment="1">
      <alignment horizontal="center" vertical="center" wrapText="1"/>
    </xf>
    <xf numFmtId="9" fontId="41" fillId="0" borderId="85" xfId="0" applyNumberFormat="1" applyFont="1" applyBorder="1" applyAlignment="1" applyProtection="1">
      <alignment horizontal="center" vertical="center"/>
      <protection hidden="1"/>
    </xf>
    <xf numFmtId="9" fontId="41" fillId="0" borderId="86" xfId="0" applyNumberFormat="1" applyFont="1" applyBorder="1" applyAlignment="1" applyProtection="1">
      <alignment horizontal="center" vertical="center"/>
      <protection hidden="1"/>
    </xf>
    <xf numFmtId="9" fontId="28" fillId="7" borderId="82" xfId="1" applyFont="1" applyFill="1" applyBorder="1" applyAlignment="1" applyProtection="1">
      <alignment horizontal="center" vertical="center"/>
      <protection hidden="1"/>
    </xf>
    <xf numFmtId="9" fontId="28" fillId="7" borderId="83" xfId="1" applyFont="1" applyFill="1" applyBorder="1" applyAlignment="1" applyProtection="1">
      <alignment horizontal="center" vertical="center"/>
      <protection hidden="1"/>
    </xf>
    <xf numFmtId="9" fontId="28" fillId="7" borderId="84" xfId="1" applyFont="1" applyFill="1" applyBorder="1" applyAlignment="1" applyProtection="1">
      <alignment horizontal="center" vertical="center"/>
      <protection hidden="1"/>
    </xf>
    <xf numFmtId="0" fontId="27" fillId="9" borderId="12" xfId="0" applyFont="1" applyFill="1" applyBorder="1" applyAlignment="1">
      <alignment horizontal="center" vertical="center" textRotation="90"/>
    </xf>
    <xf numFmtId="0" fontId="27" fillId="9" borderId="13" xfId="0" applyFont="1" applyFill="1" applyBorder="1" applyAlignment="1">
      <alignment horizontal="center" vertical="center" textRotation="90"/>
    </xf>
    <xf numFmtId="0" fontId="27" fillId="9" borderId="14" xfId="0" applyFont="1" applyFill="1" applyBorder="1" applyAlignment="1">
      <alignment horizontal="center" vertical="center" textRotation="90"/>
    </xf>
    <xf numFmtId="9" fontId="41" fillId="4" borderId="85" xfId="0" applyNumberFormat="1" applyFont="1" applyFill="1" applyBorder="1" applyAlignment="1" applyProtection="1">
      <alignment horizontal="center" vertical="center"/>
      <protection hidden="1"/>
    </xf>
    <xf numFmtId="9" fontId="41" fillId="4" borderId="86" xfId="0" applyNumberFormat="1" applyFont="1" applyFill="1" applyBorder="1" applyAlignment="1" applyProtection="1">
      <alignment horizontal="center" vertical="center"/>
      <protection hidden="1"/>
    </xf>
    <xf numFmtId="9" fontId="41" fillId="4" borderId="87" xfId="0" applyNumberFormat="1" applyFont="1" applyFill="1" applyBorder="1" applyAlignment="1" applyProtection="1">
      <alignment horizontal="center" vertical="center"/>
      <protection hidden="1"/>
    </xf>
    <xf numFmtId="0" fontId="27" fillId="11" borderId="13" xfId="0" applyFont="1" applyFill="1" applyBorder="1" applyAlignment="1">
      <alignment horizontal="center" vertical="center" textRotation="90"/>
    </xf>
    <xf numFmtId="0" fontId="27" fillId="2" borderId="12" xfId="0" applyFont="1" applyFill="1" applyBorder="1" applyAlignment="1">
      <alignment horizontal="center" vertical="center" textRotation="90"/>
    </xf>
    <xf numFmtId="0" fontId="27" fillId="2" borderId="13" xfId="0" applyFont="1" applyFill="1" applyBorder="1" applyAlignment="1">
      <alignment horizontal="center" vertical="center" textRotation="90"/>
    </xf>
    <xf numFmtId="0" fontId="27" fillId="2" borderId="14" xfId="0" applyFont="1" applyFill="1" applyBorder="1" applyAlignment="1">
      <alignment horizontal="center" vertical="center" textRotation="90"/>
    </xf>
    <xf numFmtId="9" fontId="41" fillId="0" borderId="87" xfId="0" applyNumberFormat="1" applyFont="1" applyBorder="1" applyAlignment="1" applyProtection="1">
      <alignment horizontal="center" vertical="center"/>
      <protection hidden="1"/>
    </xf>
    <xf numFmtId="0" fontId="27" fillId="10" borderId="12" xfId="0" applyFont="1" applyFill="1" applyBorder="1" applyAlignment="1">
      <alignment horizontal="center" vertical="center" textRotation="90"/>
    </xf>
    <xf numFmtId="0" fontId="27" fillId="10" borderId="13" xfId="0" applyFont="1" applyFill="1" applyBorder="1" applyAlignment="1">
      <alignment horizontal="center" vertical="center" textRotation="90"/>
    </xf>
    <xf numFmtId="0" fontId="19" fillId="3" borderId="30" xfId="2" applyFont="1" applyFill="1" applyBorder="1" applyAlignment="1" applyProtection="1">
      <alignment horizontal="center" vertical="center" wrapText="1"/>
    </xf>
    <xf numFmtId="0" fontId="19" fillId="3" borderId="31" xfId="2" applyFont="1" applyFill="1" applyBorder="1" applyAlignment="1" applyProtection="1">
      <alignment horizontal="center" vertical="center" wrapText="1"/>
    </xf>
    <xf numFmtId="0" fontId="23" fillId="6" borderId="12" xfId="0" applyFont="1" applyFill="1" applyBorder="1" applyAlignment="1">
      <alignment horizontal="center" vertical="center" textRotation="90" wrapText="1"/>
    </xf>
    <xf numFmtId="0" fontId="23" fillId="6" borderId="13" xfId="0" applyFont="1" applyFill="1" applyBorder="1" applyAlignment="1">
      <alignment horizontal="center" vertical="center" textRotation="90" wrapText="1"/>
    </xf>
    <xf numFmtId="0" fontId="23" fillId="6" borderId="14" xfId="0" applyFont="1" applyFill="1" applyBorder="1" applyAlignment="1">
      <alignment horizontal="center" vertical="center" textRotation="90" wrapText="1"/>
    </xf>
    <xf numFmtId="0" fontId="19" fillId="2" borderId="35" xfId="2" applyFont="1" applyFill="1" applyBorder="1" applyAlignment="1" applyProtection="1">
      <alignment horizontal="center" vertical="center" wrapText="1"/>
    </xf>
    <xf numFmtId="0" fontId="19" fillId="2" borderId="81" xfId="2" applyFont="1" applyFill="1" applyBorder="1" applyAlignment="1" applyProtection="1">
      <alignment horizontal="center" vertical="center" wrapText="1"/>
    </xf>
    <xf numFmtId="0" fontId="19" fillId="2" borderId="36" xfId="2" applyFont="1" applyFill="1" applyBorder="1" applyAlignment="1" applyProtection="1">
      <alignment horizontal="center" vertical="center" wrapText="1"/>
    </xf>
    <xf numFmtId="0" fontId="19" fillId="2" borderId="37" xfId="2" applyFont="1" applyFill="1" applyBorder="1" applyAlignment="1" applyProtection="1">
      <alignment horizontal="center" vertical="center" wrapText="1"/>
    </xf>
    <xf numFmtId="0" fontId="19" fillId="2" borderId="38" xfId="2" applyFont="1" applyFill="1" applyBorder="1" applyAlignment="1" applyProtection="1">
      <alignment horizontal="center" vertical="center" wrapText="1"/>
    </xf>
    <xf numFmtId="0" fontId="19" fillId="2" borderId="40" xfId="2" applyFont="1" applyFill="1" applyBorder="1" applyAlignment="1" applyProtection="1">
      <alignment horizontal="center" vertical="center" wrapText="1"/>
    </xf>
    <xf numFmtId="0" fontId="19" fillId="2" borderId="39" xfId="2" applyFont="1" applyFill="1" applyBorder="1" applyAlignment="1" applyProtection="1">
      <alignment horizontal="center" vertical="center" wrapText="1"/>
    </xf>
    <xf numFmtId="0" fontId="19" fillId="2" borderId="41" xfId="2" applyFont="1" applyFill="1" applyBorder="1" applyAlignment="1" applyProtection="1">
      <alignment horizontal="center" vertical="center" wrapText="1"/>
    </xf>
    <xf numFmtId="0" fontId="6" fillId="2" borderId="2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3" xfId="0" applyFont="1" applyFill="1" applyBorder="1" applyAlignment="1">
      <alignment horizontal="center" vertical="center"/>
    </xf>
    <xf numFmtId="0" fontId="51" fillId="2" borderId="7"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6" fillId="4" borderId="3" xfId="0" applyFont="1" applyFill="1" applyBorder="1" applyAlignment="1" applyProtection="1">
      <alignment horizontal="center" vertical="center"/>
      <protection locked="0"/>
    </xf>
    <xf numFmtId="164" fontId="56" fillId="4" borderId="20" xfId="0" applyNumberFormat="1" applyFont="1" applyFill="1" applyBorder="1" applyAlignment="1" applyProtection="1">
      <alignment horizontal="center" vertical="center"/>
      <protection locked="0"/>
    </xf>
    <xf numFmtId="164" fontId="56" fillId="4" borderId="21" xfId="0" applyNumberFormat="1" applyFont="1" applyFill="1" applyBorder="1" applyAlignment="1" applyProtection="1">
      <alignment horizontal="center" vertical="center"/>
      <protection locked="0"/>
    </xf>
    <xf numFmtId="164" fontId="56" fillId="4" borderId="9" xfId="0" applyNumberFormat="1" applyFont="1" applyFill="1" applyBorder="1" applyAlignment="1" applyProtection="1">
      <alignment horizontal="center" vertical="center"/>
      <protection locked="0"/>
    </xf>
    <xf numFmtId="0" fontId="52" fillId="2" borderId="22"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2" fillId="2" borderId="23" xfId="0" applyFont="1" applyFill="1" applyBorder="1" applyAlignment="1">
      <alignment horizontal="center" vertical="center" wrapText="1"/>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52" fillId="12" borderId="0" xfId="0" applyFont="1" applyFill="1" applyBorder="1" applyAlignment="1">
      <alignment horizontal="center" vertical="center" wrapText="1"/>
    </xf>
    <xf numFmtId="0" fontId="0" fillId="0" borderId="71" xfId="0" applyBorder="1" applyAlignment="1">
      <alignment horizontal="center"/>
    </xf>
    <xf numFmtId="0" fontId="0" fillId="0" borderId="1" xfId="0" applyBorder="1" applyAlignment="1">
      <alignment horizontal="center"/>
    </xf>
    <xf numFmtId="0" fontId="46" fillId="0" borderId="3" xfId="0" applyFont="1" applyBorder="1" applyAlignment="1">
      <alignment horizontal="justify" vertical="center" wrapText="1"/>
    </xf>
    <xf numFmtId="0" fontId="46" fillId="0" borderId="4" xfId="0" applyFont="1" applyBorder="1" applyAlignment="1">
      <alignment horizontal="justify" vertical="center" wrapText="1"/>
    </xf>
    <xf numFmtId="0" fontId="47" fillId="0" borderId="3" xfId="0" applyFont="1" applyFill="1" applyBorder="1" applyAlignment="1">
      <alignment horizontal="justify" vertical="center" wrapText="1"/>
    </xf>
    <xf numFmtId="49" fontId="49" fillId="4" borderId="3" xfId="0" applyNumberFormat="1" applyFont="1" applyFill="1" applyBorder="1" applyAlignment="1">
      <alignment horizontal="justify" vertical="center" wrapText="1"/>
    </xf>
    <xf numFmtId="49" fontId="58" fillId="4" borderId="20" xfId="0" applyNumberFormat="1" applyFont="1" applyFill="1" applyBorder="1" applyAlignment="1" applyProtection="1">
      <alignment horizontal="justify" vertical="center" wrapText="1"/>
      <protection locked="0"/>
    </xf>
    <xf numFmtId="49" fontId="58" fillId="4" borderId="21" xfId="0" applyNumberFormat="1" applyFont="1" applyFill="1" applyBorder="1" applyAlignment="1" applyProtection="1">
      <alignment horizontal="justify" vertical="center" wrapText="1"/>
      <protection locked="0"/>
    </xf>
    <xf numFmtId="49" fontId="58" fillId="4" borderId="93" xfId="0" applyNumberFormat="1" applyFont="1" applyFill="1" applyBorder="1" applyAlignment="1" applyProtection="1">
      <alignment horizontal="justify" vertical="center" wrapText="1"/>
      <protection locked="0"/>
    </xf>
    <xf numFmtId="49" fontId="58" fillId="4" borderId="10" xfId="0" applyNumberFormat="1" applyFont="1" applyFill="1" applyBorder="1" applyAlignment="1" applyProtection="1">
      <alignment horizontal="justify" vertical="center" wrapText="1"/>
      <protection locked="0"/>
    </xf>
    <xf numFmtId="49" fontId="58" fillId="4" borderId="28" xfId="0" applyNumberFormat="1" applyFont="1" applyFill="1" applyBorder="1" applyAlignment="1" applyProtection="1">
      <alignment horizontal="justify" vertical="center" wrapText="1"/>
      <protection locked="0"/>
    </xf>
    <xf numFmtId="49" fontId="58" fillId="4" borderId="94" xfId="0" applyNumberFormat="1" applyFont="1" applyFill="1" applyBorder="1" applyAlignment="1" applyProtection="1">
      <alignment horizontal="justify" vertical="center" wrapText="1"/>
      <protection locked="0"/>
    </xf>
    <xf numFmtId="49" fontId="45" fillId="5" borderId="22" xfId="0" applyNumberFormat="1" applyFont="1" applyFill="1" applyBorder="1" applyAlignment="1">
      <alignment horizontal="center" vertical="center"/>
    </xf>
    <xf numFmtId="49" fontId="45" fillId="5" borderId="1" xfId="0" applyNumberFormat="1" applyFont="1" applyFill="1" applyBorder="1" applyAlignment="1">
      <alignment horizontal="center" vertical="center"/>
    </xf>
    <xf numFmtId="49" fontId="45" fillId="5" borderId="23" xfId="0" applyNumberFormat="1" applyFont="1" applyFill="1" applyBorder="1" applyAlignment="1">
      <alignment horizontal="center" vertical="center"/>
    </xf>
    <xf numFmtId="0" fontId="45" fillId="5" borderId="2" xfId="0" applyFont="1" applyFill="1" applyBorder="1" applyAlignment="1">
      <alignment horizontal="center" vertical="center" wrapText="1"/>
    </xf>
    <xf numFmtId="0" fontId="46" fillId="0" borderId="6" xfId="0" applyFont="1" applyBorder="1" applyAlignment="1">
      <alignment horizontal="center" vertical="center" wrapText="1"/>
    </xf>
    <xf numFmtId="0" fontId="46" fillId="0" borderId="6" xfId="0" applyFont="1" applyBorder="1" applyAlignment="1">
      <alignment horizontal="justify" vertical="center" wrapText="1"/>
    </xf>
    <xf numFmtId="0" fontId="43" fillId="0" borderId="6" xfId="0" applyFont="1" applyBorder="1" applyAlignment="1" applyProtection="1">
      <alignment horizontal="center" vertical="center" wrapText="1"/>
      <protection locked="0"/>
    </xf>
    <xf numFmtId="0" fontId="38" fillId="0" borderId="95" xfId="0" applyFont="1" applyBorder="1" applyAlignment="1" applyProtection="1">
      <alignment horizontal="center" vertical="center" wrapText="1"/>
      <protection hidden="1"/>
    </xf>
    <xf numFmtId="49" fontId="45" fillId="5" borderId="2" xfId="0" applyNumberFormat="1" applyFont="1" applyFill="1" applyBorder="1" applyAlignment="1">
      <alignment horizontal="center" vertical="center" wrapText="1"/>
    </xf>
    <xf numFmtId="0" fontId="45" fillId="5" borderId="92" xfId="0" applyFont="1" applyFill="1" applyBorder="1" applyAlignment="1">
      <alignment horizontal="center" vertical="center" wrapText="1"/>
    </xf>
    <xf numFmtId="0" fontId="45" fillId="5" borderId="77"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7" xfId="0" applyFont="1" applyBorder="1" applyAlignment="1">
      <alignment horizontal="justify" vertical="center" wrapText="1"/>
    </xf>
    <xf numFmtId="0" fontId="43" fillId="0" borderId="7" xfId="0" applyFont="1" applyBorder="1" applyAlignment="1" applyProtection="1">
      <alignment horizontal="center" vertical="center" wrapText="1"/>
      <protection locked="0"/>
    </xf>
    <xf numFmtId="49" fontId="8" fillId="10" borderId="91" xfId="0" applyNumberFormat="1" applyFont="1" applyFill="1" applyBorder="1" applyAlignment="1">
      <alignment horizontal="center" vertical="center" wrapText="1"/>
    </xf>
    <xf numFmtId="49" fontId="44" fillId="10" borderId="7" xfId="0" applyNumberFormat="1" applyFont="1" applyFill="1" applyBorder="1" applyAlignment="1">
      <alignment horizontal="center" vertical="center" wrapText="1"/>
    </xf>
    <xf numFmtId="49" fontId="44" fillId="10" borderId="6" xfId="0" applyNumberFormat="1" applyFont="1" applyFill="1" applyBorder="1" applyAlignment="1">
      <alignment horizontal="center" vertical="center" wrapText="1"/>
    </xf>
    <xf numFmtId="49" fontId="8" fillId="10" borderId="96" xfId="0" applyNumberFormat="1" applyFont="1" applyFill="1" applyBorder="1" applyAlignment="1">
      <alignment horizontal="center" vertical="center" wrapText="1"/>
    </xf>
    <xf numFmtId="0" fontId="38" fillId="0" borderId="7" xfId="0" applyFont="1" applyBorder="1" applyAlignment="1" applyProtection="1">
      <alignment horizontal="center" vertical="center" wrapText="1"/>
      <protection hidden="1"/>
    </xf>
    <xf numFmtId="0" fontId="38" fillId="0" borderId="3" xfId="0" applyFont="1" applyBorder="1" applyAlignment="1" applyProtection="1">
      <alignment horizontal="center" vertical="center" wrapText="1"/>
      <protection hidden="1"/>
    </xf>
    <xf numFmtId="49" fontId="44" fillId="10" borderId="91" xfId="0" applyNumberFormat="1" applyFont="1" applyFill="1" applyBorder="1" applyAlignment="1">
      <alignment horizontal="center" vertical="center" wrapText="1"/>
    </xf>
    <xf numFmtId="49" fontId="44" fillId="10" borderId="96" xfId="0" applyNumberFormat="1" applyFont="1" applyFill="1" applyBorder="1" applyAlignment="1">
      <alignment horizontal="center" vertical="center" wrapText="1"/>
    </xf>
    <xf numFmtId="49" fontId="44" fillId="2" borderId="91" xfId="0" applyNumberFormat="1" applyFont="1" applyFill="1" applyBorder="1" applyAlignment="1">
      <alignment horizontal="center" vertical="center" wrapText="1"/>
    </xf>
    <xf numFmtId="49" fontId="44" fillId="2" borderId="7" xfId="0" applyNumberFormat="1" applyFont="1" applyFill="1" applyBorder="1" applyAlignment="1">
      <alignment horizontal="center" vertical="center" wrapText="1"/>
    </xf>
    <xf numFmtId="0" fontId="46" fillId="0" borderId="3" xfId="0" applyFont="1" applyFill="1" applyBorder="1" applyAlignment="1">
      <alignment horizontal="justify" vertical="center" wrapText="1"/>
    </xf>
    <xf numFmtId="0" fontId="38" fillId="0" borderId="9" xfId="0" applyFont="1" applyFill="1" applyBorder="1" applyAlignment="1" applyProtection="1">
      <alignment horizontal="center" vertical="center" wrapText="1"/>
      <protection hidden="1"/>
    </xf>
    <xf numFmtId="49" fontId="44" fillId="2" borderId="96" xfId="0" applyNumberFormat="1" applyFont="1" applyFill="1" applyBorder="1" applyAlignment="1">
      <alignment horizontal="center" vertical="center" wrapText="1"/>
    </xf>
    <xf numFmtId="49" fontId="44" fillId="2" borderId="6" xfId="0" applyNumberFormat="1" applyFont="1" applyFill="1" applyBorder="1" applyAlignment="1">
      <alignment horizontal="center" vertical="center" wrapText="1"/>
    </xf>
    <xf numFmtId="49" fontId="44" fillId="11" borderId="91" xfId="0" applyNumberFormat="1" applyFont="1" applyFill="1" applyBorder="1" applyAlignment="1">
      <alignment horizontal="center" vertical="center" wrapText="1"/>
    </xf>
    <xf numFmtId="49" fontId="44" fillId="11" borderId="7" xfId="0" applyNumberFormat="1" applyFont="1" applyFill="1" applyBorder="1" applyAlignment="1">
      <alignment horizontal="center" vertical="center" wrapText="1"/>
    </xf>
    <xf numFmtId="49" fontId="44" fillId="11" borderId="96" xfId="0" applyNumberFormat="1" applyFont="1" applyFill="1" applyBorder="1" applyAlignment="1">
      <alignment horizontal="center" vertical="center" wrapText="1"/>
    </xf>
    <xf numFmtId="49" fontId="44" fillId="11" borderId="6" xfId="0" applyNumberFormat="1" applyFont="1" applyFill="1" applyBorder="1" applyAlignment="1">
      <alignment horizontal="center" vertical="center" wrapText="1"/>
    </xf>
    <xf numFmtId="49" fontId="44" fillId="9" borderId="91" xfId="0" applyNumberFormat="1" applyFont="1" applyFill="1" applyBorder="1" applyAlignment="1">
      <alignment horizontal="center" vertical="center" wrapText="1"/>
    </xf>
    <xf numFmtId="49" fontId="44" fillId="9" borderId="7" xfId="0" applyNumberFormat="1" applyFont="1" applyFill="1" applyBorder="1" applyAlignment="1">
      <alignment horizontal="center" vertical="center" wrapText="1"/>
    </xf>
    <xf numFmtId="49" fontId="44" fillId="9" borderId="96" xfId="0" applyNumberFormat="1" applyFont="1" applyFill="1" applyBorder="1" applyAlignment="1">
      <alignment horizontal="center" vertical="center" wrapText="1"/>
    </xf>
    <xf numFmtId="49" fontId="44" fillId="9" borderId="6" xfId="0" applyNumberFormat="1" applyFont="1" applyFill="1" applyBorder="1" applyAlignment="1">
      <alignment horizontal="center" vertical="center" wrapText="1"/>
    </xf>
    <xf numFmtId="49" fontId="44" fillId="9" borderId="89" xfId="0" applyNumberFormat="1" applyFont="1" applyFill="1" applyBorder="1" applyAlignment="1">
      <alignment horizontal="center" vertical="center" wrapText="1"/>
    </xf>
    <xf numFmtId="49" fontId="44" fillId="9" borderId="3" xfId="0" applyNumberFormat="1" applyFont="1" applyFill="1" applyBorder="1" applyAlignment="1">
      <alignment horizontal="center" vertical="center" wrapText="1"/>
    </xf>
    <xf numFmtId="0" fontId="44" fillId="9" borderId="7" xfId="0" applyFont="1" applyFill="1" applyBorder="1" applyAlignment="1">
      <alignment horizontal="justify" vertical="center" wrapText="1"/>
    </xf>
    <xf numFmtId="0" fontId="44" fillId="9" borderId="11" xfId="0" applyFont="1" applyFill="1" applyBorder="1" applyAlignment="1">
      <alignment horizontal="justify" vertical="center" wrapText="1"/>
    </xf>
    <xf numFmtId="0" fontId="44" fillId="9" borderId="6" xfId="0" applyFont="1" applyFill="1" applyBorder="1" applyAlignment="1">
      <alignment horizontal="justify" vertical="center" wrapText="1"/>
    </xf>
    <xf numFmtId="0" fontId="44" fillId="6" borderId="11" xfId="0" applyFont="1" applyFill="1" applyBorder="1" applyAlignment="1">
      <alignment horizontal="justify" vertical="center" wrapText="1"/>
    </xf>
    <xf numFmtId="0" fontId="44" fillId="10" borderId="7" xfId="0" applyFont="1" applyFill="1" applyBorder="1" applyAlignment="1">
      <alignment horizontal="justify" vertical="center" wrapText="1"/>
    </xf>
    <xf numFmtId="0" fontId="44" fillId="10" borderId="11" xfId="0" applyFont="1" applyFill="1" applyBorder="1" applyAlignment="1">
      <alignment horizontal="justify" vertical="center" wrapText="1"/>
    </xf>
    <xf numFmtId="0" fontId="44" fillId="10" borderId="6" xfId="0" applyFont="1" applyFill="1" applyBorder="1" applyAlignment="1">
      <alignment horizontal="justify" vertical="center" wrapText="1"/>
    </xf>
    <xf numFmtId="0" fontId="44" fillId="10" borderId="3" xfId="0" applyFont="1" applyFill="1" applyBorder="1" applyAlignment="1">
      <alignment horizontal="justify" vertical="center" wrapText="1"/>
    </xf>
    <xf numFmtId="0" fontId="44" fillId="2" borderId="7" xfId="0" applyFont="1" applyFill="1" applyBorder="1" applyAlignment="1">
      <alignment horizontal="justify" vertical="center" wrapText="1"/>
    </xf>
    <xf numFmtId="0" fontId="44" fillId="2" borderId="11" xfId="0" applyFont="1" applyFill="1" applyBorder="1" applyAlignment="1">
      <alignment horizontal="justify" vertical="center" wrapText="1"/>
    </xf>
    <xf numFmtId="0" fontId="44" fillId="2" borderId="6" xfId="0" applyFont="1" applyFill="1" applyBorder="1" applyAlignment="1">
      <alignment horizontal="justify" vertical="center" wrapText="1"/>
    </xf>
    <xf numFmtId="0" fontId="44" fillId="11" borderId="7" xfId="0" applyFont="1" applyFill="1" applyBorder="1" applyAlignment="1">
      <alignment horizontal="justify" vertical="center" wrapText="1"/>
    </xf>
    <xf numFmtId="0" fontId="44" fillId="11" borderId="11" xfId="0" applyFont="1" applyFill="1" applyBorder="1" applyAlignment="1">
      <alignment horizontal="justify" vertical="center" wrapText="1"/>
    </xf>
    <xf numFmtId="0" fontId="44" fillId="11" borderId="6" xfId="0" applyFont="1" applyFill="1" applyBorder="1" applyAlignment="1">
      <alignment horizontal="justify" vertical="center" wrapText="1"/>
    </xf>
    <xf numFmtId="0" fontId="1" fillId="0" borderId="3" xfId="0" applyFont="1" applyBorder="1" applyAlignment="1" applyProtection="1">
      <alignment horizontal="justify" vertical="center" wrapText="1"/>
      <protection hidden="1"/>
    </xf>
    <xf numFmtId="0" fontId="1" fillId="0" borderId="4" xfId="0" applyFont="1" applyBorder="1" applyAlignment="1" applyProtection="1">
      <alignment horizontal="justify" vertical="center" wrapText="1"/>
      <protection hidden="1"/>
    </xf>
    <xf numFmtId="0" fontId="1" fillId="0" borderId="2" xfId="0" applyFont="1" applyBorder="1" applyAlignment="1" applyProtection="1">
      <alignment horizontal="justify" vertical="center" wrapText="1"/>
      <protection hidden="1"/>
    </xf>
    <xf numFmtId="0" fontId="1" fillId="0" borderId="7" xfId="0" applyFont="1" applyBorder="1" applyAlignment="1" applyProtection="1">
      <alignment horizontal="justify" vertical="center" wrapText="1"/>
      <protection hidden="1"/>
    </xf>
    <xf numFmtId="0" fontId="1" fillId="0" borderId="6" xfId="0" applyFont="1" applyBorder="1" applyAlignment="1" applyProtection="1">
      <alignment horizontal="justify" vertical="center" wrapText="1"/>
      <protection hidden="1"/>
    </xf>
    <xf numFmtId="0" fontId="57" fillId="0" borderId="1" xfId="0" applyFont="1" applyFill="1" applyBorder="1" applyAlignment="1" applyProtection="1">
      <alignment horizontal="justify" vertical="center"/>
      <protection locked="0"/>
    </xf>
    <xf numFmtId="0" fontId="57" fillId="0" borderId="23" xfId="0" applyFont="1" applyFill="1" applyBorder="1" applyAlignment="1" applyProtection="1">
      <alignment horizontal="justify" vertical="center"/>
      <protection locked="0"/>
    </xf>
    <xf numFmtId="0" fontId="57" fillId="0" borderId="22" xfId="0" applyFont="1" applyFill="1" applyBorder="1" applyAlignment="1" applyProtection="1">
      <alignment horizontal="justify" vertical="center" wrapText="1"/>
      <protection locked="0"/>
    </xf>
    <xf numFmtId="0" fontId="47" fillId="4" borderId="0" xfId="0" applyFont="1" applyFill="1"/>
    <xf numFmtId="0" fontId="18" fillId="5" borderId="2" xfId="0" applyFont="1" applyFill="1" applyBorder="1" applyAlignment="1">
      <alignment horizontal="center" vertical="center" wrapText="1"/>
    </xf>
    <xf numFmtId="0" fontId="46" fillId="0" borderId="9" xfId="0" applyFont="1" applyFill="1" applyBorder="1" applyAlignment="1" applyProtection="1">
      <alignment horizontal="justify" vertical="center" wrapText="1"/>
      <protection locked="0"/>
    </xf>
    <xf numFmtId="0" fontId="46" fillId="0" borderId="9" xfId="0" applyFont="1" applyBorder="1" applyAlignment="1" applyProtection="1">
      <alignment horizontal="justify" vertical="center" wrapText="1"/>
      <protection locked="0"/>
    </xf>
    <xf numFmtId="0" fontId="47" fillId="0" borderId="0" xfId="0" applyFont="1"/>
    <xf numFmtId="0" fontId="47" fillId="0" borderId="6" xfId="0" applyFont="1" applyBorder="1" applyAlignment="1" applyProtection="1">
      <alignment horizontal="justify" vertical="center" wrapText="1"/>
      <protection locked="0"/>
    </xf>
    <xf numFmtId="0" fontId="59" fillId="0" borderId="3" xfId="0" applyFont="1" applyBorder="1" applyAlignment="1" applyProtection="1">
      <alignment horizontal="justify" vertical="center" wrapText="1"/>
      <protection locked="0"/>
    </xf>
    <xf numFmtId="0" fontId="47" fillId="0" borderId="3" xfId="0" applyFont="1" applyBorder="1" applyAlignment="1" applyProtection="1">
      <alignment horizontal="justify" vertical="center" wrapText="1"/>
      <protection locked="0"/>
    </xf>
    <xf numFmtId="0" fontId="46" fillId="0" borderId="95" xfId="0" applyFont="1" applyBorder="1" applyAlignment="1" applyProtection="1">
      <alignment horizontal="justify" vertical="center" wrapText="1"/>
      <protection locked="0"/>
    </xf>
    <xf numFmtId="0" fontId="46" fillId="0" borderId="78" xfId="0" applyFont="1" applyBorder="1" applyAlignment="1" applyProtection="1">
      <alignment horizontal="justify" vertical="center" wrapText="1"/>
      <protection locked="0"/>
    </xf>
    <xf numFmtId="0" fontId="44" fillId="9" borderId="3" xfId="0" applyFont="1" applyFill="1" applyBorder="1" applyAlignment="1">
      <alignment horizontal="justify" vertical="center" wrapText="1"/>
    </xf>
  </cellXfs>
  <cellStyles count="5">
    <cellStyle name="Normal" xfId="0" builtinId="0"/>
    <cellStyle name="Normal - Style1 2" xfId="3"/>
    <cellStyle name="Normal 2" xfId="2"/>
    <cellStyle name="Normal 2 2" xfId="4"/>
    <cellStyle name="Porcentaje" xfId="1" builtinId="5"/>
  </cellStyles>
  <dxfs count="20">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6</xdr:col>
      <xdr:colOff>189418</xdr:colOff>
      <xdr:row>11</xdr:row>
      <xdr:rowOff>47624</xdr:rowOff>
    </xdr:to>
    <xdr:pic>
      <xdr:nvPicPr>
        <xdr:cNvPr id="2"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 val="Hoja4"/>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A43" zoomScale="90" zoomScaleNormal="90" workbookViewId="0">
      <selection activeCell="B6" sqref="B6:H7"/>
    </sheetView>
  </sheetViews>
  <sheetFormatPr baseColWidth="10" defaultColWidth="0" defaultRowHeight="12.75" zeroHeight="1" x14ac:dyDescent="0.2"/>
  <cols>
    <col min="1" max="1" width="3.85546875" style="45" customWidth="1"/>
    <col min="2" max="2" width="15.28515625" style="45" customWidth="1"/>
    <col min="3" max="3" width="17.28515625" style="45" customWidth="1"/>
    <col min="4" max="4" width="28.5703125" style="45" customWidth="1"/>
    <col min="5" max="5" width="12.85546875" style="45" customWidth="1"/>
    <col min="6" max="6" width="47.140625" style="45" customWidth="1"/>
    <col min="7" max="7" width="21.42578125" style="45" customWidth="1"/>
    <col min="8" max="8" width="6.5703125" style="45" customWidth="1"/>
    <col min="9" max="9" width="2.5703125" style="45" customWidth="1"/>
    <col min="10" max="16384" width="11.42578125" style="45" hidden="1"/>
  </cols>
  <sheetData>
    <row r="1" spans="2:8" ht="13.5" thickBot="1" x14ac:dyDescent="0.25"/>
    <row r="2" spans="2:8" ht="73.5" customHeight="1" x14ac:dyDescent="0.2">
      <c r="B2" s="136" t="s">
        <v>0</v>
      </c>
      <c r="C2" s="137"/>
      <c r="D2" s="137"/>
      <c r="E2" s="137"/>
      <c r="F2" s="137"/>
      <c r="G2" s="137"/>
      <c r="H2" s="138"/>
    </row>
    <row r="3" spans="2:8" ht="65.25" customHeight="1" x14ac:dyDescent="0.2">
      <c r="B3" s="139" t="s">
        <v>1</v>
      </c>
      <c r="C3" s="140"/>
      <c r="D3" s="140"/>
      <c r="E3" s="140"/>
      <c r="F3" s="140"/>
      <c r="G3" s="140"/>
      <c r="H3" s="141"/>
    </row>
    <row r="4" spans="2:8" ht="82.5" customHeight="1" x14ac:dyDescent="0.2">
      <c r="B4" s="139"/>
      <c r="C4" s="140"/>
      <c r="D4" s="140"/>
      <c r="E4" s="140"/>
      <c r="F4" s="140"/>
      <c r="G4" s="140"/>
      <c r="H4" s="141"/>
    </row>
    <row r="5" spans="2:8" ht="21.75" customHeight="1" x14ac:dyDescent="0.2">
      <c r="B5" s="142" t="s">
        <v>2</v>
      </c>
      <c r="C5" s="143"/>
      <c r="D5" s="143"/>
      <c r="E5" s="143"/>
      <c r="F5" s="143"/>
      <c r="G5" s="143"/>
      <c r="H5" s="144"/>
    </row>
    <row r="6" spans="2:8" ht="42" customHeight="1" x14ac:dyDescent="0.2">
      <c r="B6" s="145" t="s">
        <v>3</v>
      </c>
      <c r="C6" s="146"/>
      <c r="D6" s="146"/>
      <c r="E6" s="146"/>
      <c r="F6" s="146"/>
      <c r="G6" s="146"/>
      <c r="H6" s="147"/>
    </row>
    <row r="7" spans="2:8" ht="14.25" customHeight="1" x14ac:dyDescent="0.2">
      <c r="B7" s="145"/>
      <c r="C7" s="146"/>
      <c r="D7" s="146"/>
      <c r="E7" s="146"/>
      <c r="F7" s="146"/>
      <c r="G7" s="146"/>
      <c r="H7" s="147"/>
    </row>
    <row r="8" spans="2:8" ht="12.75" customHeight="1" thickBot="1" x14ac:dyDescent="0.25">
      <c r="B8" s="57"/>
      <c r="C8" s="51"/>
      <c r="D8" s="67"/>
      <c r="E8" s="68"/>
      <c r="F8" s="68"/>
      <c r="G8" s="65"/>
      <c r="H8" s="66"/>
    </row>
    <row r="9" spans="2:8" ht="21" customHeight="1" thickTop="1" x14ac:dyDescent="0.2">
      <c r="B9" s="57"/>
      <c r="C9" s="148" t="s">
        <v>4</v>
      </c>
      <c r="D9" s="149"/>
      <c r="E9" s="150" t="s">
        <v>5</v>
      </c>
      <c r="F9" s="151"/>
      <c r="G9" s="51"/>
      <c r="H9" s="59"/>
    </row>
    <row r="10" spans="2:8" ht="37.5" customHeight="1" x14ac:dyDescent="0.2">
      <c r="B10" s="57"/>
      <c r="C10" s="152" t="s">
        <v>6</v>
      </c>
      <c r="D10" s="153"/>
      <c r="E10" s="154" t="s">
        <v>7</v>
      </c>
      <c r="F10" s="155"/>
      <c r="G10" s="51"/>
      <c r="H10" s="59"/>
    </row>
    <row r="11" spans="2:8" ht="39.75" customHeight="1" x14ac:dyDescent="0.2">
      <c r="B11" s="57"/>
      <c r="C11" s="156" t="s">
        <v>8</v>
      </c>
      <c r="D11" s="157"/>
      <c r="E11" s="158" t="s">
        <v>9</v>
      </c>
      <c r="F11" s="159"/>
      <c r="G11" s="51"/>
      <c r="H11" s="59"/>
    </row>
    <row r="12" spans="2:8" ht="59.25" customHeight="1" x14ac:dyDescent="0.2">
      <c r="B12" s="57"/>
      <c r="C12" s="156" t="s">
        <v>10</v>
      </c>
      <c r="D12" s="157"/>
      <c r="E12" s="160" t="s">
        <v>11</v>
      </c>
      <c r="F12" s="161"/>
      <c r="G12" s="51"/>
      <c r="H12" s="59"/>
    </row>
    <row r="13" spans="2:8" ht="33.75" customHeight="1" x14ac:dyDescent="0.2">
      <c r="B13" s="57"/>
      <c r="C13" s="166" t="s">
        <v>12</v>
      </c>
      <c r="D13" s="167"/>
      <c r="E13" s="158" t="s">
        <v>13</v>
      </c>
      <c r="F13" s="159"/>
      <c r="G13" s="51"/>
      <c r="H13" s="59"/>
    </row>
    <row r="14" spans="2:8" ht="19.5" customHeight="1" x14ac:dyDescent="0.2">
      <c r="B14" s="57"/>
      <c r="C14" s="63"/>
      <c r="D14" s="63"/>
      <c r="E14" s="64"/>
      <c r="F14" s="64"/>
      <c r="G14" s="51"/>
      <c r="H14" s="59"/>
    </row>
    <row r="15" spans="2:8" ht="37.5" customHeight="1" thickBot="1" x14ac:dyDescent="0.25">
      <c r="B15" s="162" t="s">
        <v>14</v>
      </c>
      <c r="C15" s="163"/>
      <c r="D15" s="163"/>
      <c r="E15" s="163"/>
      <c r="F15" s="163"/>
      <c r="G15" s="163"/>
      <c r="H15" s="164"/>
    </row>
    <row r="16" spans="2:8" ht="27.75" customHeight="1" thickBot="1" x14ac:dyDescent="0.25">
      <c r="B16" s="57"/>
      <c r="C16" s="168" t="s">
        <v>15</v>
      </c>
      <c r="D16" s="169"/>
      <c r="E16" s="169" t="s">
        <v>16</v>
      </c>
      <c r="F16" s="180"/>
      <c r="G16" s="51"/>
      <c r="H16" s="59"/>
    </row>
    <row r="17" spans="2:8" ht="27.75" customHeight="1" x14ac:dyDescent="0.2">
      <c r="B17" s="57"/>
      <c r="C17" s="181" t="s">
        <v>17</v>
      </c>
      <c r="D17" s="182"/>
      <c r="E17" s="183" t="s">
        <v>18</v>
      </c>
      <c r="F17" s="184"/>
      <c r="G17" s="90"/>
      <c r="H17" s="59"/>
    </row>
    <row r="18" spans="2:8" ht="41.25" customHeight="1" x14ac:dyDescent="0.2">
      <c r="B18" s="57"/>
      <c r="C18" s="170" t="s">
        <v>19</v>
      </c>
      <c r="D18" s="171"/>
      <c r="E18" s="172" t="s">
        <v>20</v>
      </c>
      <c r="F18" s="173"/>
      <c r="G18" s="91"/>
      <c r="H18" s="59"/>
    </row>
    <row r="19" spans="2:8" ht="37.5" customHeight="1" thickBot="1" x14ac:dyDescent="0.25">
      <c r="B19" s="57"/>
      <c r="C19" s="174" t="s">
        <v>21</v>
      </c>
      <c r="D19" s="175"/>
      <c r="E19" s="176" t="s">
        <v>22</v>
      </c>
      <c r="F19" s="177"/>
      <c r="G19" s="91"/>
      <c r="H19" s="59"/>
    </row>
    <row r="20" spans="2:8" ht="11.25" customHeight="1" x14ac:dyDescent="0.2">
      <c r="B20" s="52"/>
      <c r="C20" s="53"/>
      <c r="D20" s="53"/>
      <c r="E20" s="53"/>
      <c r="F20" s="53"/>
      <c r="G20" s="53"/>
      <c r="H20" s="54"/>
    </row>
    <row r="21" spans="2:8" ht="14.25" customHeight="1" x14ac:dyDescent="0.2">
      <c r="B21" s="55"/>
      <c r="C21" s="178"/>
      <c r="D21" s="178"/>
      <c r="E21" s="179"/>
      <c r="F21" s="179"/>
      <c r="G21" s="179"/>
      <c r="H21" s="56"/>
    </row>
    <row r="22" spans="2:8" ht="36" customHeight="1" x14ac:dyDescent="0.2">
      <c r="B22" s="162" t="s">
        <v>23</v>
      </c>
      <c r="C22" s="163"/>
      <c r="D22" s="163"/>
      <c r="E22" s="163"/>
      <c r="F22" s="163"/>
      <c r="G22" s="163"/>
      <c r="H22" s="164"/>
    </row>
    <row r="23" spans="2:8" ht="13.5" x14ac:dyDescent="0.2">
      <c r="B23" s="57"/>
      <c r="C23" s="58"/>
      <c r="D23" s="58"/>
      <c r="E23" s="165"/>
      <c r="F23" s="165"/>
      <c r="G23" s="51"/>
      <c r="H23" s="59"/>
    </row>
    <row r="24" spans="2:8" ht="13.5" thickBot="1" x14ac:dyDescent="0.25">
      <c r="B24" s="60"/>
      <c r="C24" s="61"/>
      <c r="D24" s="61"/>
      <c r="E24" s="61"/>
      <c r="F24" s="61"/>
      <c r="G24" s="61"/>
      <c r="H24" s="62"/>
    </row>
    <row r="25" spans="2:8" x14ac:dyDescent="0.2"/>
    <row r="26" spans="2:8" ht="29.25" customHeight="1" x14ac:dyDescent="0.2"/>
    <row r="27" spans="2:8" ht="26.25" customHeight="1" x14ac:dyDescent="0.2"/>
    <row r="28" spans="2:8" ht="43.5" customHeight="1" x14ac:dyDescent="0.2"/>
    <row r="29" spans="2:8" ht="53.25" customHeight="1" x14ac:dyDescent="0.2"/>
    <row r="30" spans="2:8" x14ac:dyDescent="0.2"/>
    <row r="31" spans="2:8" x14ac:dyDescent="0.2"/>
    <row r="32" spans="2:8" x14ac:dyDescent="0.2"/>
    <row r="33" x14ac:dyDescent="0.2"/>
    <row r="34" x14ac:dyDescent="0.2"/>
    <row r="35"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x14ac:dyDescent="0.2"/>
    <row r="52" x14ac:dyDescent="0.2"/>
    <row r="54" x14ac:dyDescent="0.2"/>
  </sheetData>
  <sheetProtection algorithmName="SHA-512" hashValue="t7sIeOvFa2bhukBsHVcHmO5gG9cifT20ZR8W/o5PL1FLs7w8K+KkEm6wLVbMVfYFM8W9luBRuNKu+qdhAWPM7w==" saltValue="H/shNuEdnFDauevCofk8Sw==" spinCount="100000" sheet="1" objects="1" scenarios="1"/>
  <mergeCells count="27">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 ref="C10:D10"/>
    <mergeCell ref="E10:F10"/>
    <mergeCell ref="C11:D11"/>
    <mergeCell ref="E11:F11"/>
    <mergeCell ref="C12:D12"/>
    <mergeCell ref="E12:F12"/>
    <mergeCell ref="B2:H2"/>
    <mergeCell ref="B3:H4"/>
    <mergeCell ref="B5:H5"/>
    <mergeCell ref="B6:H7"/>
    <mergeCell ref="C9:D9"/>
    <mergeCell ref="E9:F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9"/>
  <sheetViews>
    <sheetView showGridLines="0" topLeftCell="B50" zoomScale="80" zoomScaleNormal="80" workbookViewId="0">
      <selection activeCell="F55" sqref="F55"/>
    </sheetView>
  </sheetViews>
  <sheetFormatPr baseColWidth="10" defaultColWidth="11.42578125" defaultRowHeight="16.5" x14ac:dyDescent="0.3"/>
  <cols>
    <col min="1" max="1" width="3" style="47" hidden="1" customWidth="1"/>
    <col min="2" max="2" width="9.42578125" style="47" customWidth="1"/>
    <col min="3" max="3" width="25.5703125" style="47" customWidth="1"/>
    <col min="4" max="4" width="46.5703125" style="47" customWidth="1"/>
    <col min="5" max="5" width="13.5703125" style="70" customWidth="1"/>
    <col min="6" max="6" width="68.140625" style="70" customWidth="1"/>
    <col min="7" max="7" width="20.42578125" style="47" customWidth="1"/>
    <col min="8" max="8" width="56.28515625" style="321" customWidth="1"/>
    <col min="9" max="9" width="43" style="47" customWidth="1"/>
    <col min="10" max="12" width="11.42578125" style="75" customWidth="1"/>
    <col min="13" max="24" width="11.42578125" style="47" customWidth="1"/>
    <col min="25" max="16384" width="11.42578125" style="47"/>
  </cols>
  <sheetData>
    <row r="1" spans="1:32" x14ac:dyDescent="0.3">
      <c r="B1" s="46"/>
      <c r="C1" s="46"/>
      <c r="D1" s="46"/>
      <c r="E1" s="69"/>
      <c r="F1" s="69"/>
      <c r="G1" s="46"/>
      <c r="H1" s="317"/>
      <c r="I1" s="46"/>
      <c r="J1" s="71"/>
      <c r="K1" s="71"/>
      <c r="L1" s="72"/>
      <c r="M1" s="46"/>
      <c r="N1" s="46"/>
      <c r="O1" s="46"/>
      <c r="P1" s="46"/>
      <c r="Q1" s="46"/>
      <c r="R1" s="46"/>
      <c r="S1" s="46"/>
      <c r="T1" s="46"/>
      <c r="U1" s="46"/>
      <c r="V1" s="46"/>
      <c r="W1" s="46"/>
      <c r="X1" s="46"/>
    </row>
    <row r="2" spans="1:32" x14ac:dyDescent="0.3">
      <c r="B2" s="46"/>
      <c r="C2" s="46"/>
      <c r="D2" s="46"/>
      <c r="E2" s="69"/>
      <c r="F2" s="69"/>
      <c r="G2" s="46"/>
      <c r="H2" s="317"/>
      <c r="I2" s="46"/>
      <c r="J2" s="71"/>
      <c r="K2" s="71"/>
      <c r="L2" s="72"/>
      <c r="M2" s="46"/>
      <c r="N2" s="46"/>
      <c r="O2" s="46"/>
      <c r="P2" s="46"/>
      <c r="Q2" s="46"/>
      <c r="R2" s="46"/>
      <c r="S2" s="46"/>
      <c r="T2" s="46"/>
      <c r="U2" s="46"/>
      <c r="V2" s="46"/>
      <c r="W2" s="46"/>
      <c r="X2" s="46"/>
    </row>
    <row r="3" spans="1:32" x14ac:dyDescent="0.3">
      <c r="B3" s="46"/>
      <c r="C3" s="46"/>
      <c r="D3" s="46"/>
      <c r="E3" s="69"/>
      <c r="F3" s="69"/>
      <c r="G3" s="46"/>
      <c r="H3" s="317"/>
      <c r="I3" s="46"/>
      <c r="J3" s="71"/>
      <c r="K3" s="71"/>
      <c r="L3" s="72"/>
      <c r="M3" s="46"/>
      <c r="N3" s="46"/>
      <c r="O3" s="46"/>
      <c r="P3" s="46"/>
      <c r="Q3" s="46"/>
      <c r="R3" s="46"/>
      <c r="S3" s="46"/>
      <c r="T3" s="46"/>
      <c r="U3" s="46"/>
      <c r="V3" s="46"/>
      <c r="W3" s="46"/>
      <c r="X3" s="46"/>
    </row>
    <row r="4" spans="1:32" x14ac:dyDescent="0.3">
      <c r="B4" s="46"/>
      <c r="C4" s="46"/>
      <c r="D4" s="46"/>
      <c r="E4" s="69"/>
      <c r="F4" s="69"/>
      <c r="G4" s="46"/>
      <c r="H4" s="317"/>
      <c r="I4" s="46"/>
      <c r="J4" s="71"/>
      <c r="K4" s="71"/>
      <c r="L4" s="72"/>
      <c r="M4" s="46"/>
      <c r="N4" s="46"/>
      <c r="O4" s="46"/>
      <c r="P4" s="46"/>
      <c r="Q4" s="46"/>
      <c r="R4" s="46"/>
      <c r="S4" s="46"/>
      <c r="T4" s="46"/>
      <c r="U4" s="46"/>
      <c r="V4" s="46"/>
      <c r="W4" s="46"/>
      <c r="X4" s="46"/>
    </row>
    <row r="5" spans="1:32" x14ac:dyDescent="0.3">
      <c r="B5" s="46"/>
      <c r="C5" s="46"/>
      <c r="D5" s="46"/>
      <c r="E5" s="69"/>
      <c r="F5" s="69"/>
      <c r="G5" s="46"/>
      <c r="H5" s="317"/>
      <c r="I5" s="46"/>
      <c r="J5" s="71"/>
      <c r="K5" s="71"/>
      <c r="L5" s="72"/>
      <c r="M5" s="46"/>
      <c r="N5" s="46"/>
      <c r="O5" s="46"/>
      <c r="P5" s="46"/>
      <c r="Q5" s="46"/>
      <c r="R5" s="46"/>
      <c r="S5" s="46"/>
      <c r="T5" s="46"/>
      <c r="U5" s="46"/>
      <c r="V5" s="46"/>
      <c r="W5" s="46"/>
      <c r="X5" s="46"/>
    </row>
    <row r="6" spans="1:32" x14ac:dyDescent="0.3">
      <c r="B6" s="46"/>
      <c r="C6" s="46"/>
      <c r="D6" s="46"/>
      <c r="E6" s="69"/>
      <c r="F6" s="69"/>
      <c r="G6" s="46"/>
      <c r="H6" s="317"/>
      <c r="I6" s="46"/>
      <c r="J6" s="71"/>
      <c r="K6" s="71"/>
      <c r="L6" s="72"/>
      <c r="M6" s="46"/>
      <c r="N6" s="46"/>
      <c r="O6" s="46"/>
      <c r="P6" s="46"/>
      <c r="Q6" s="46"/>
      <c r="R6" s="46"/>
      <c r="S6" s="46"/>
      <c r="T6" s="46"/>
      <c r="U6" s="46"/>
      <c r="V6" s="46"/>
      <c r="W6" s="46"/>
      <c r="X6" s="46"/>
    </row>
    <row r="7" spans="1:32" x14ac:dyDescent="0.3">
      <c r="B7" s="46"/>
      <c r="C7" s="46"/>
      <c r="D7" s="46"/>
      <c r="E7" s="69"/>
      <c r="F7" s="69"/>
      <c r="G7" s="46"/>
      <c r="H7" s="317"/>
      <c r="I7" s="46"/>
      <c r="J7" s="71"/>
      <c r="K7" s="71"/>
      <c r="L7" s="72"/>
      <c r="M7" s="46"/>
      <c r="N7" s="46"/>
      <c r="O7" s="46"/>
      <c r="P7" s="46"/>
      <c r="Q7" s="46"/>
      <c r="R7" s="46"/>
      <c r="S7" s="46"/>
      <c r="T7" s="46"/>
      <c r="U7" s="46"/>
      <c r="V7" s="46"/>
      <c r="W7" s="46"/>
      <c r="X7" s="46"/>
    </row>
    <row r="8" spans="1:32" x14ac:dyDescent="0.3">
      <c r="B8" s="46"/>
      <c r="C8" s="46"/>
      <c r="D8" s="46"/>
      <c r="E8" s="69"/>
      <c r="F8" s="69"/>
      <c r="G8" s="46"/>
      <c r="H8" s="317"/>
      <c r="I8" s="46"/>
      <c r="J8" s="71"/>
      <c r="K8" s="71"/>
      <c r="L8" s="72"/>
      <c r="M8" s="46"/>
      <c r="N8" s="46"/>
      <c r="O8" s="46"/>
      <c r="P8" s="46"/>
      <c r="Q8" s="46"/>
      <c r="R8" s="46"/>
      <c r="S8" s="46"/>
      <c r="T8" s="46"/>
      <c r="U8" s="46"/>
      <c r="V8" s="46"/>
      <c r="W8" s="46"/>
      <c r="X8" s="46"/>
    </row>
    <row r="9" spans="1:32" x14ac:dyDescent="0.3">
      <c r="B9" s="46"/>
      <c r="C9" s="46"/>
      <c r="D9" s="46"/>
      <c r="E9" s="69"/>
      <c r="F9" s="69"/>
      <c r="G9" s="46"/>
      <c r="H9" s="317"/>
      <c r="I9" s="46"/>
      <c r="J9" s="71"/>
      <c r="K9" s="71"/>
      <c r="L9" s="72"/>
      <c r="M9" s="46"/>
      <c r="N9" s="46"/>
      <c r="O9" s="46"/>
      <c r="P9" s="46"/>
      <c r="Q9" s="46"/>
      <c r="R9" s="46"/>
      <c r="S9" s="46"/>
      <c r="T9" s="46"/>
      <c r="U9" s="46"/>
      <c r="V9" s="46"/>
      <c r="W9" s="46"/>
      <c r="X9" s="46"/>
    </row>
    <row r="10" spans="1:32" x14ac:dyDescent="0.3">
      <c r="B10" s="46"/>
      <c r="C10" s="46"/>
      <c r="D10" s="46"/>
      <c r="E10" s="69"/>
      <c r="F10" s="69"/>
      <c r="G10" s="46"/>
      <c r="H10" s="317"/>
      <c r="I10" s="46"/>
      <c r="J10" s="71"/>
      <c r="K10" s="71"/>
      <c r="L10" s="72"/>
      <c r="M10" s="46"/>
      <c r="N10" s="46"/>
      <c r="O10" s="46"/>
      <c r="P10" s="46"/>
      <c r="Q10" s="46"/>
      <c r="R10" s="46"/>
      <c r="S10" s="46"/>
      <c r="T10" s="46"/>
      <c r="U10" s="46"/>
      <c r="V10" s="46"/>
      <c r="W10" s="46"/>
      <c r="X10" s="46"/>
    </row>
    <row r="11" spans="1:32" x14ac:dyDescent="0.3">
      <c r="B11" s="46"/>
      <c r="C11" s="46"/>
      <c r="D11" s="46"/>
      <c r="E11" s="69"/>
      <c r="F11" s="69"/>
      <c r="G11" s="46"/>
      <c r="H11" s="317"/>
      <c r="I11" s="46"/>
      <c r="J11" s="71"/>
      <c r="K11" s="71"/>
      <c r="L11" s="72"/>
      <c r="M11" s="46"/>
      <c r="N11" s="46"/>
      <c r="O11" s="46"/>
      <c r="P11" s="46"/>
      <c r="Q11" s="46"/>
      <c r="R11" s="46"/>
      <c r="S11" s="46"/>
      <c r="T11" s="46"/>
      <c r="U11" s="46"/>
      <c r="V11" s="46"/>
      <c r="W11" s="46"/>
      <c r="X11" s="46"/>
    </row>
    <row r="12" spans="1:32" x14ac:dyDescent="0.3">
      <c r="B12" s="46"/>
      <c r="C12" s="46"/>
      <c r="D12" s="46"/>
      <c r="E12" s="69"/>
      <c r="F12" s="69"/>
      <c r="G12" s="46"/>
      <c r="H12" s="317"/>
      <c r="I12" s="46"/>
      <c r="J12" s="71"/>
      <c r="K12" s="71"/>
      <c r="L12" s="72"/>
      <c r="M12" s="46"/>
      <c r="N12" s="46"/>
      <c r="O12" s="46"/>
      <c r="P12" s="46"/>
      <c r="Q12" s="46"/>
      <c r="R12" s="46"/>
      <c r="S12" s="46"/>
      <c r="T12" s="46"/>
      <c r="U12" s="46"/>
      <c r="V12" s="46"/>
      <c r="W12" s="46"/>
      <c r="X12" s="46"/>
    </row>
    <row r="13" spans="1:32" ht="17.25" thickBot="1" x14ac:dyDescent="0.35">
      <c r="B13" s="46"/>
      <c r="C13" s="46"/>
      <c r="D13" s="46"/>
      <c r="E13" s="69"/>
      <c r="F13" s="69"/>
      <c r="G13" s="46"/>
      <c r="H13" s="317"/>
      <c r="I13" s="46"/>
      <c r="J13" s="71"/>
      <c r="K13" s="71"/>
      <c r="L13" s="72"/>
      <c r="M13" s="46"/>
      <c r="N13" s="46"/>
      <c r="O13" s="46"/>
      <c r="P13" s="46"/>
      <c r="Q13" s="46"/>
      <c r="R13" s="46"/>
      <c r="S13" s="46"/>
      <c r="T13" s="46"/>
      <c r="U13" s="46"/>
      <c r="V13" s="46"/>
      <c r="W13" s="46"/>
      <c r="X13" s="46"/>
    </row>
    <row r="14" spans="1:32" s="49" customFormat="1" ht="47.25" customHeight="1" thickBot="1" x14ac:dyDescent="0.3">
      <c r="B14" s="257" t="s">
        <v>24</v>
      </c>
      <c r="C14" s="258"/>
      <c r="D14" s="258"/>
      <c r="E14" s="258"/>
      <c r="F14" s="258"/>
      <c r="G14" s="258"/>
      <c r="H14" s="258"/>
      <c r="I14" s="259"/>
      <c r="J14" s="73"/>
      <c r="K14" s="73"/>
      <c r="L14" s="74"/>
      <c r="M14" s="48"/>
      <c r="N14" s="48"/>
      <c r="O14" s="48"/>
      <c r="P14" s="48"/>
      <c r="Q14" s="48"/>
      <c r="R14" s="48"/>
      <c r="S14" s="48"/>
      <c r="T14" s="48"/>
      <c r="U14" s="48"/>
      <c r="V14" s="48"/>
      <c r="W14" s="48"/>
      <c r="X14" s="48"/>
      <c r="Y14" s="48"/>
      <c r="Z14" s="48"/>
      <c r="AA14" s="48"/>
      <c r="AB14" s="48"/>
      <c r="AC14" s="48"/>
      <c r="AD14" s="48"/>
      <c r="AE14" s="48"/>
      <c r="AF14" s="48"/>
    </row>
    <row r="15" spans="1:32" s="49" customFormat="1" ht="121.5" customHeight="1" x14ac:dyDescent="0.25">
      <c r="B15" s="265" t="s">
        <v>25</v>
      </c>
      <c r="C15" s="265" t="s">
        <v>6</v>
      </c>
      <c r="D15" s="260" t="s">
        <v>8</v>
      </c>
      <c r="E15" s="266" t="s">
        <v>26</v>
      </c>
      <c r="F15" s="266" t="s">
        <v>27</v>
      </c>
      <c r="G15" s="266" t="s">
        <v>28</v>
      </c>
      <c r="H15" s="318" t="s">
        <v>29</v>
      </c>
      <c r="I15" s="267" t="s">
        <v>30</v>
      </c>
      <c r="J15" s="73"/>
      <c r="K15" s="73"/>
      <c r="L15" s="74"/>
      <c r="M15" s="48"/>
      <c r="N15" s="48"/>
      <c r="O15" s="48"/>
      <c r="P15" s="48"/>
      <c r="Q15" s="48"/>
      <c r="R15" s="48"/>
      <c r="S15" s="48"/>
      <c r="T15" s="48"/>
      <c r="U15" s="48"/>
      <c r="V15" s="48"/>
      <c r="W15" s="48"/>
      <c r="X15" s="48"/>
      <c r="Y15" s="48"/>
      <c r="Z15" s="48"/>
      <c r="AA15" s="48"/>
      <c r="AB15" s="48"/>
      <c r="AC15" s="48"/>
      <c r="AD15" s="48"/>
      <c r="AE15" s="48"/>
      <c r="AF15" s="48"/>
    </row>
    <row r="16" spans="1:32" s="49" customFormat="1" ht="23.25" x14ac:dyDescent="0.25">
      <c r="A16" s="92" t="str">
        <f>1&amp;E16</f>
        <v>1a</v>
      </c>
      <c r="B16" s="196" t="s">
        <v>31</v>
      </c>
      <c r="C16" s="187" t="s">
        <v>32</v>
      </c>
      <c r="D16" s="298" t="s">
        <v>33</v>
      </c>
      <c r="E16" s="261" t="s">
        <v>34</v>
      </c>
      <c r="F16" s="262" t="s">
        <v>35</v>
      </c>
      <c r="G16" s="263" t="s">
        <v>39</v>
      </c>
      <c r="H16" s="322" t="s">
        <v>210</v>
      </c>
      <c r="I16" s="264" t="str">
        <f>+IF(G16="Si","Mantenimiento del control",IF(G16="En proceso","Oportunidad de mejora","Deficiencia de control"))</f>
        <v>Mantenimiento del control</v>
      </c>
      <c r="J16" s="93">
        <f t="shared" ref="J16:J27" si="0">+IF(G16="Si",20,IF(G16="En proceso",10,0))</f>
        <v>20</v>
      </c>
      <c r="K16" s="93">
        <v>0.123</v>
      </c>
      <c r="L16" s="93">
        <f>+J16+K16</f>
        <v>20.123000000000001</v>
      </c>
    </row>
    <row r="17" spans="1:32" s="49" customFormat="1" ht="47.25" x14ac:dyDescent="0.25">
      <c r="A17" s="92" t="str">
        <f t="shared" ref="A17:A27" si="1">1&amp;E17</f>
        <v>1b</v>
      </c>
      <c r="B17" s="196"/>
      <c r="C17" s="187"/>
      <c r="D17" s="298"/>
      <c r="E17" s="76" t="s">
        <v>37</v>
      </c>
      <c r="F17" s="249" t="s">
        <v>38</v>
      </c>
      <c r="G17" s="99" t="s">
        <v>39</v>
      </c>
      <c r="H17" s="323" t="s">
        <v>211</v>
      </c>
      <c r="I17" s="94" t="str">
        <f t="shared" ref="I17:I59" si="2">+IF(G17="Si","Mantenimiento del control",IF(G17="En proceso","Oportunidad de mejora","Deficiencia de control"))</f>
        <v>Mantenimiento del control</v>
      </c>
      <c r="J17" s="95">
        <f t="shared" si="0"/>
        <v>20</v>
      </c>
      <c r="K17" s="93">
        <v>0.1234</v>
      </c>
      <c r="L17" s="93">
        <f t="shared" ref="L17:L59" si="3">+J17+K17</f>
        <v>20.1234</v>
      </c>
    </row>
    <row r="18" spans="1:32" s="49" customFormat="1" ht="47.25" x14ac:dyDescent="0.25">
      <c r="A18" s="92" t="str">
        <f t="shared" si="1"/>
        <v>1c</v>
      </c>
      <c r="B18" s="196"/>
      <c r="C18" s="187"/>
      <c r="D18" s="298"/>
      <c r="E18" s="76" t="s">
        <v>40</v>
      </c>
      <c r="F18" s="247" t="s">
        <v>41</v>
      </c>
      <c r="G18" s="100" t="s">
        <v>39</v>
      </c>
      <c r="H18" s="324" t="s">
        <v>212</v>
      </c>
      <c r="I18" s="96" t="str">
        <f t="shared" si="2"/>
        <v>Mantenimiento del control</v>
      </c>
      <c r="J18" s="95">
        <f t="shared" si="0"/>
        <v>20</v>
      </c>
      <c r="K18" s="93">
        <v>0.12345</v>
      </c>
      <c r="L18" s="93">
        <f t="shared" si="3"/>
        <v>20.123449999999998</v>
      </c>
    </row>
    <row r="19" spans="1:32" s="49" customFormat="1" ht="23.25" x14ac:dyDescent="0.25">
      <c r="A19" s="92" t="str">
        <f t="shared" si="1"/>
        <v>1d</v>
      </c>
      <c r="B19" s="196"/>
      <c r="C19" s="187"/>
      <c r="D19" s="298"/>
      <c r="E19" s="76" t="s">
        <v>42</v>
      </c>
      <c r="F19" s="247" t="s">
        <v>43</v>
      </c>
      <c r="G19" s="100" t="s">
        <v>39</v>
      </c>
      <c r="H19" s="324" t="s">
        <v>213</v>
      </c>
      <c r="I19" s="96" t="str">
        <f t="shared" si="2"/>
        <v>Mantenimiento del control</v>
      </c>
      <c r="J19" s="95">
        <f t="shared" si="0"/>
        <v>20</v>
      </c>
      <c r="K19" s="93">
        <v>0.123456</v>
      </c>
      <c r="L19" s="93">
        <f t="shared" si="3"/>
        <v>20.123456000000001</v>
      </c>
    </row>
    <row r="20" spans="1:32" s="49" customFormat="1" ht="23.25" x14ac:dyDescent="0.25">
      <c r="A20" s="92" t="str">
        <f t="shared" si="1"/>
        <v>1e</v>
      </c>
      <c r="B20" s="196"/>
      <c r="C20" s="187"/>
      <c r="D20" s="298"/>
      <c r="E20" s="76" t="s">
        <v>44</v>
      </c>
      <c r="F20" s="247" t="s">
        <v>45</v>
      </c>
      <c r="G20" s="100" t="s">
        <v>39</v>
      </c>
      <c r="H20" s="324" t="s">
        <v>214</v>
      </c>
      <c r="I20" s="96" t="str">
        <f t="shared" si="2"/>
        <v>Mantenimiento del control</v>
      </c>
      <c r="J20" s="95">
        <f t="shared" si="0"/>
        <v>20</v>
      </c>
      <c r="K20" s="93">
        <v>0.12345678</v>
      </c>
      <c r="L20" s="93">
        <f t="shared" si="3"/>
        <v>20.123456780000001</v>
      </c>
    </row>
    <row r="21" spans="1:32" s="49" customFormat="1" ht="31.5" x14ac:dyDescent="0.25">
      <c r="A21" s="92" t="str">
        <f t="shared" si="1"/>
        <v>1f</v>
      </c>
      <c r="B21" s="196"/>
      <c r="C21" s="187"/>
      <c r="D21" s="298"/>
      <c r="E21" s="76" t="s">
        <v>46</v>
      </c>
      <c r="F21" s="247" t="s">
        <v>47</v>
      </c>
      <c r="G21" s="100" t="s">
        <v>39</v>
      </c>
      <c r="H21" s="324" t="s">
        <v>192</v>
      </c>
      <c r="I21" s="96" t="str">
        <f t="shared" si="2"/>
        <v>Mantenimiento del control</v>
      </c>
      <c r="J21" s="95">
        <f t="shared" si="0"/>
        <v>20</v>
      </c>
      <c r="K21" s="93">
        <v>0.123456789</v>
      </c>
      <c r="L21" s="93">
        <f t="shared" si="3"/>
        <v>20.123456788999999</v>
      </c>
    </row>
    <row r="22" spans="1:32" s="49" customFormat="1" ht="47.25" x14ac:dyDescent="0.25">
      <c r="A22" s="92" t="str">
        <f t="shared" si="1"/>
        <v>1g</v>
      </c>
      <c r="B22" s="196"/>
      <c r="C22" s="187"/>
      <c r="D22" s="298"/>
      <c r="E22" s="76" t="s">
        <v>48</v>
      </c>
      <c r="F22" s="247" t="s">
        <v>49</v>
      </c>
      <c r="G22" s="100" t="s">
        <v>39</v>
      </c>
      <c r="H22" s="324" t="s">
        <v>191</v>
      </c>
      <c r="I22" s="96" t="str">
        <f t="shared" si="2"/>
        <v>Mantenimiento del control</v>
      </c>
      <c r="J22" s="95">
        <f t="shared" si="0"/>
        <v>20</v>
      </c>
      <c r="K22" s="93">
        <v>0.12345678910000001</v>
      </c>
      <c r="L22" s="93">
        <f t="shared" si="3"/>
        <v>20.1234567891</v>
      </c>
    </row>
    <row r="23" spans="1:32" s="49" customFormat="1" ht="47.25" x14ac:dyDescent="0.25">
      <c r="A23" s="92" t="str">
        <f t="shared" si="1"/>
        <v>1h</v>
      </c>
      <c r="B23" s="196"/>
      <c r="C23" s="187"/>
      <c r="D23" s="298"/>
      <c r="E23" s="76" t="s">
        <v>50</v>
      </c>
      <c r="F23" s="247" t="s">
        <v>51</v>
      </c>
      <c r="G23" s="100" t="s">
        <v>39</v>
      </c>
      <c r="H23" s="324" t="s">
        <v>215</v>
      </c>
      <c r="I23" s="96" t="str">
        <f t="shared" si="2"/>
        <v>Mantenimiento del control</v>
      </c>
      <c r="J23" s="95">
        <f t="shared" si="0"/>
        <v>20</v>
      </c>
      <c r="K23" s="93">
        <v>0.12345678911999999</v>
      </c>
      <c r="L23" s="93">
        <f t="shared" si="3"/>
        <v>20.123456789119999</v>
      </c>
    </row>
    <row r="24" spans="1:32" s="49" customFormat="1" ht="31.5" x14ac:dyDescent="0.25">
      <c r="A24" s="92" t="str">
        <f t="shared" si="1"/>
        <v>1i</v>
      </c>
      <c r="B24" s="196"/>
      <c r="C24" s="187"/>
      <c r="D24" s="298"/>
      <c r="E24" s="76" t="s">
        <v>52</v>
      </c>
      <c r="F24" s="247" t="s">
        <v>53</v>
      </c>
      <c r="G24" s="100" t="s">
        <v>39</v>
      </c>
      <c r="H24" s="324" t="s">
        <v>216</v>
      </c>
      <c r="I24" s="96" t="str">
        <f t="shared" si="2"/>
        <v>Mantenimiento del control</v>
      </c>
      <c r="J24" s="95">
        <f t="shared" si="0"/>
        <v>20</v>
      </c>
      <c r="K24" s="93">
        <v>0.123456789123</v>
      </c>
      <c r="L24" s="93">
        <f t="shared" si="3"/>
        <v>20.123456789123001</v>
      </c>
    </row>
    <row r="25" spans="1:32" s="49" customFormat="1" ht="31.5" x14ac:dyDescent="0.25">
      <c r="A25" s="92" t="str">
        <f t="shared" si="1"/>
        <v>1j</v>
      </c>
      <c r="B25" s="196"/>
      <c r="C25" s="187"/>
      <c r="D25" s="298"/>
      <c r="E25" s="76" t="s">
        <v>54</v>
      </c>
      <c r="F25" s="247" t="s">
        <v>55</v>
      </c>
      <c r="G25" s="100" t="s">
        <v>39</v>
      </c>
      <c r="H25" s="324" t="s">
        <v>193</v>
      </c>
      <c r="I25" s="96" t="str">
        <f t="shared" si="2"/>
        <v>Mantenimiento del control</v>
      </c>
      <c r="J25" s="95">
        <f t="shared" si="0"/>
        <v>20</v>
      </c>
      <c r="K25" s="93">
        <v>0.1234567891234</v>
      </c>
      <c r="L25" s="93">
        <f t="shared" si="3"/>
        <v>20.123456789123399</v>
      </c>
    </row>
    <row r="26" spans="1:32" s="49" customFormat="1" ht="31.5" x14ac:dyDescent="0.25">
      <c r="A26" s="92" t="str">
        <f t="shared" si="1"/>
        <v>1k</v>
      </c>
      <c r="B26" s="196"/>
      <c r="C26" s="187"/>
      <c r="D26" s="298"/>
      <c r="E26" s="76" t="s">
        <v>56</v>
      </c>
      <c r="F26" s="247" t="s">
        <v>57</v>
      </c>
      <c r="G26" s="100" t="s">
        <v>39</v>
      </c>
      <c r="H26" s="324" t="s">
        <v>194</v>
      </c>
      <c r="I26" s="96" t="str">
        <f t="shared" si="2"/>
        <v>Mantenimiento del control</v>
      </c>
      <c r="J26" s="95">
        <f t="shared" si="0"/>
        <v>20</v>
      </c>
      <c r="K26" s="93">
        <v>0.12345678912345</v>
      </c>
      <c r="L26" s="93">
        <f t="shared" si="3"/>
        <v>20.123456789123448</v>
      </c>
    </row>
    <row r="27" spans="1:32" s="49" customFormat="1" ht="31.5" x14ac:dyDescent="0.25">
      <c r="A27" s="92" t="str">
        <f t="shared" si="1"/>
        <v>1l</v>
      </c>
      <c r="B27" s="196"/>
      <c r="C27" s="187"/>
      <c r="D27" s="298"/>
      <c r="E27" s="268" t="s">
        <v>58</v>
      </c>
      <c r="F27" s="269" t="s">
        <v>59</v>
      </c>
      <c r="G27" s="270" t="s">
        <v>39</v>
      </c>
      <c r="H27" s="324" t="s">
        <v>217</v>
      </c>
      <c r="I27" s="275" t="str">
        <f t="shared" si="2"/>
        <v>Mantenimiento del control</v>
      </c>
      <c r="J27" s="95">
        <f t="shared" si="0"/>
        <v>20</v>
      </c>
      <c r="K27" s="93">
        <v>0.12345678912345601</v>
      </c>
      <c r="L27" s="93">
        <f t="shared" si="3"/>
        <v>20.123456789123455</v>
      </c>
    </row>
    <row r="28" spans="1:32" s="49" customFormat="1" ht="53.25" customHeight="1" x14ac:dyDescent="0.25">
      <c r="A28" s="92" t="str">
        <f>2&amp;E28</f>
        <v>2a</v>
      </c>
      <c r="B28" s="271" t="s">
        <v>60</v>
      </c>
      <c r="C28" s="272" t="s">
        <v>61</v>
      </c>
      <c r="D28" s="299" t="s">
        <v>62</v>
      </c>
      <c r="E28" s="76" t="s">
        <v>34</v>
      </c>
      <c r="F28" s="247" t="s">
        <v>63</v>
      </c>
      <c r="G28" s="100" t="s">
        <v>39</v>
      </c>
      <c r="H28" s="324" t="s">
        <v>195</v>
      </c>
      <c r="I28" s="276" t="str">
        <f t="shared" si="2"/>
        <v>Mantenimiento del control</v>
      </c>
      <c r="J28" s="93">
        <f>+IF(G28="Si",40,IF(G28="En proceso",30,20))</f>
        <v>40</v>
      </c>
      <c r="K28" s="93">
        <v>0.23</v>
      </c>
      <c r="L28" s="93">
        <f t="shared" si="3"/>
        <v>40.229999999999997</v>
      </c>
    </row>
    <row r="29" spans="1:32" s="49" customFormat="1" ht="69" customHeight="1" x14ac:dyDescent="0.25">
      <c r="A29" s="92" t="str">
        <f t="shared" ref="A29:A31" si="4">2&amp;E29</f>
        <v>2b</v>
      </c>
      <c r="B29" s="197"/>
      <c r="C29" s="188"/>
      <c r="D29" s="300"/>
      <c r="E29" s="76" t="s">
        <v>37</v>
      </c>
      <c r="F29" s="247" t="s">
        <v>64</v>
      </c>
      <c r="G29" s="100" t="s">
        <v>39</v>
      </c>
      <c r="H29" s="324" t="s">
        <v>196</v>
      </c>
      <c r="I29" s="276" t="str">
        <f t="shared" si="2"/>
        <v>Mantenimiento del control</v>
      </c>
      <c r="J29" s="93">
        <f>+IF(G29="Si",40,IF(G29="En proceso",30,20))</f>
        <v>40</v>
      </c>
      <c r="K29" s="93">
        <v>0.23400000000000001</v>
      </c>
      <c r="L29" s="93">
        <f t="shared" si="3"/>
        <v>40.234000000000002</v>
      </c>
    </row>
    <row r="30" spans="1:32" s="49" customFormat="1" ht="72.75" customHeight="1" x14ac:dyDescent="0.25">
      <c r="A30" s="92" t="str">
        <f t="shared" si="4"/>
        <v>2c</v>
      </c>
      <c r="B30" s="197"/>
      <c r="C30" s="188"/>
      <c r="D30" s="300"/>
      <c r="E30" s="76" t="s">
        <v>40</v>
      </c>
      <c r="F30" s="247" t="s">
        <v>65</v>
      </c>
      <c r="G30" s="100" t="s">
        <v>39</v>
      </c>
      <c r="H30" s="324" t="s">
        <v>197</v>
      </c>
      <c r="I30" s="276" t="str">
        <f t="shared" si="2"/>
        <v>Mantenimiento del control</v>
      </c>
      <c r="J30" s="93">
        <f>+IF(G30="Si",40,IF(G30="En proceso",30,20))</f>
        <v>40</v>
      </c>
      <c r="K30" s="93">
        <v>0.23449999999999999</v>
      </c>
      <c r="L30" s="93">
        <f t="shared" si="3"/>
        <v>40.234499999999997</v>
      </c>
    </row>
    <row r="31" spans="1:32" s="49" customFormat="1" ht="67.5" customHeight="1" x14ac:dyDescent="0.25">
      <c r="A31" s="92" t="str">
        <f t="shared" si="4"/>
        <v>2d</v>
      </c>
      <c r="B31" s="274"/>
      <c r="C31" s="273"/>
      <c r="D31" s="301"/>
      <c r="E31" s="76" t="s">
        <v>42</v>
      </c>
      <c r="F31" s="247" t="s">
        <v>66</v>
      </c>
      <c r="G31" s="100" t="s">
        <v>39</v>
      </c>
      <c r="H31" s="324" t="s">
        <v>218</v>
      </c>
      <c r="I31" s="276" t="str">
        <f t="shared" si="2"/>
        <v>Mantenimiento del control</v>
      </c>
      <c r="J31" s="93">
        <f>+IF(G31="Si",40,IF(G31="En proceso",30,20))</f>
        <v>40</v>
      </c>
      <c r="K31" s="93">
        <v>0.23455999999999999</v>
      </c>
      <c r="L31" s="93">
        <f t="shared" si="3"/>
        <v>40.234560000000002</v>
      </c>
    </row>
    <row r="32" spans="1:32" s="49" customFormat="1" ht="31.5" x14ac:dyDescent="0.25">
      <c r="A32" s="92" t="str">
        <f>3&amp;E32</f>
        <v>3a</v>
      </c>
      <c r="B32" s="273" t="s">
        <v>67</v>
      </c>
      <c r="C32" s="192" t="s">
        <v>61</v>
      </c>
      <c r="D32" s="302" t="s">
        <v>68</v>
      </c>
      <c r="E32" s="78" t="s">
        <v>34</v>
      </c>
      <c r="F32" s="247" t="s">
        <v>69</v>
      </c>
      <c r="G32" s="100" t="s">
        <v>39</v>
      </c>
      <c r="H32" s="320" t="s">
        <v>219</v>
      </c>
      <c r="I32" s="276" t="str">
        <f t="shared" si="2"/>
        <v>Mantenimiento del control</v>
      </c>
      <c r="J32" s="93">
        <f t="shared" ref="J32:J37" si="5">+IF(G32="Si",40,IF(G32="En proceso",30,20))</f>
        <v>40</v>
      </c>
      <c r="K32" s="98">
        <v>0.234567</v>
      </c>
      <c r="L32" s="93">
        <f t="shared" ref="L32:L37" si="6">+J32+K32</f>
        <v>40.234566999999998</v>
      </c>
      <c r="M32" s="48"/>
      <c r="N32" s="48"/>
      <c r="O32" s="48"/>
      <c r="P32" s="48"/>
      <c r="Q32" s="48"/>
      <c r="R32" s="48"/>
      <c r="S32" s="48"/>
      <c r="T32" s="48"/>
      <c r="U32" s="48"/>
      <c r="V32" s="48"/>
      <c r="W32" s="48"/>
      <c r="X32" s="48"/>
      <c r="Y32" s="48"/>
      <c r="Z32" s="48"/>
      <c r="AA32" s="48"/>
      <c r="AB32" s="48"/>
      <c r="AC32" s="48"/>
      <c r="AD32" s="48"/>
      <c r="AE32" s="48"/>
      <c r="AF32" s="48"/>
    </row>
    <row r="33" spans="1:32" s="49" customFormat="1" ht="31.5" x14ac:dyDescent="0.25">
      <c r="A33" s="92" t="str">
        <f t="shared" ref="A33:A34" si="7">3&amp;E33</f>
        <v>3b</v>
      </c>
      <c r="B33" s="192"/>
      <c r="C33" s="192"/>
      <c r="D33" s="302"/>
      <c r="E33" s="78" t="s">
        <v>37</v>
      </c>
      <c r="F33" s="247" t="s">
        <v>70</v>
      </c>
      <c r="G33" s="100" t="s">
        <v>39</v>
      </c>
      <c r="H33" s="320" t="s">
        <v>198</v>
      </c>
      <c r="I33" s="276" t="str">
        <f t="shared" si="2"/>
        <v>Mantenimiento del control</v>
      </c>
      <c r="J33" s="93">
        <f t="shared" si="5"/>
        <v>40</v>
      </c>
      <c r="K33" s="98">
        <v>0.23456779999999999</v>
      </c>
      <c r="L33" s="93">
        <f t="shared" si="6"/>
        <v>40.234567800000001</v>
      </c>
      <c r="M33" s="48"/>
      <c r="N33" s="48"/>
      <c r="O33" s="48"/>
      <c r="P33" s="48"/>
      <c r="Q33" s="48"/>
      <c r="R33" s="48"/>
      <c r="S33" s="48"/>
      <c r="T33" s="48"/>
      <c r="U33" s="48"/>
      <c r="V33" s="48"/>
      <c r="W33" s="48"/>
      <c r="X33" s="48"/>
      <c r="Y33" s="48"/>
      <c r="Z33" s="48"/>
      <c r="AA33" s="48"/>
      <c r="AB33" s="48"/>
      <c r="AC33" s="48"/>
      <c r="AD33" s="48"/>
      <c r="AE33" s="48"/>
      <c r="AF33" s="48"/>
    </row>
    <row r="34" spans="1:32" s="49" customFormat="1" ht="31.5" x14ac:dyDescent="0.25">
      <c r="A34" s="92" t="str">
        <f t="shared" si="7"/>
        <v>3c</v>
      </c>
      <c r="B34" s="192"/>
      <c r="C34" s="192"/>
      <c r="D34" s="302"/>
      <c r="E34" s="78" t="s">
        <v>40</v>
      </c>
      <c r="F34" s="247" t="s">
        <v>71</v>
      </c>
      <c r="G34" s="100" t="s">
        <v>39</v>
      </c>
      <c r="H34" s="320" t="s">
        <v>220</v>
      </c>
      <c r="I34" s="96" t="str">
        <f t="shared" si="2"/>
        <v>Mantenimiento del control</v>
      </c>
      <c r="J34" s="93">
        <f t="shared" si="5"/>
        <v>40</v>
      </c>
      <c r="K34" s="98">
        <v>0.23456789</v>
      </c>
      <c r="L34" s="93">
        <f t="shared" si="6"/>
        <v>40.234567890000001</v>
      </c>
      <c r="M34" s="48"/>
      <c r="N34" s="48"/>
      <c r="O34" s="48"/>
      <c r="P34" s="48"/>
      <c r="Q34" s="48"/>
      <c r="R34" s="48"/>
      <c r="S34" s="48"/>
      <c r="T34" s="48"/>
      <c r="U34" s="48"/>
      <c r="V34" s="48"/>
      <c r="W34" s="48"/>
      <c r="X34" s="48"/>
      <c r="Y34" s="48"/>
      <c r="Z34" s="48"/>
      <c r="AA34" s="48"/>
      <c r="AB34" s="48"/>
      <c r="AC34" s="48"/>
      <c r="AD34" s="48"/>
      <c r="AE34" s="48"/>
      <c r="AF34" s="48"/>
    </row>
    <row r="35" spans="1:32" s="49" customFormat="1" ht="31.5" x14ac:dyDescent="0.25">
      <c r="A35" s="92" t="str">
        <f>4&amp;E35</f>
        <v>4a</v>
      </c>
      <c r="B35" s="277" t="s">
        <v>72</v>
      </c>
      <c r="C35" s="272" t="s">
        <v>61</v>
      </c>
      <c r="D35" s="299" t="s">
        <v>73</v>
      </c>
      <c r="E35" s="76" t="s">
        <v>34</v>
      </c>
      <c r="F35" s="247" t="s">
        <v>74</v>
      </c>
      <c r="G35" s="100" t="s">
        <v>39</v>
      </c>
      <c r="H35" s="320" t="s">
        <v>221</v>
      </c>
      <c r="I35" s="96" t="str">
        <f t="shared" si="2"/>
        <v>Mantenimiento del control</v>
      </c>
      <c r="J35" s="93">
        <f t="shared" si="5"/>
        <v>40</v>
      </c>
      <c r="K35" s="98">
        <v>0.23456789119999999</v>
      </c>
      <c r="L35" s="93">
        <f t="shared" si="6"/>
        <v>40.234567891200001</v>
      </c>
      <c r="M35" s="48"/>
      <c r="N35" s="48"/>
      <c r="O35" s="48"/>
      <c r="P35" s="48"/>
      <c r="Q35" s="48"/>
    </row>
    <row r="36" spans="1:32" s="49" customFormat="1" ht="23.25" x14ac:dyDescent="0.25">
      <c r="A36" s="92" t="str">
        <f t="shared" ref="A36:A37" si="8">4&amp;E36</f>
        <v>4b</v>
      </c>
      <c r="B36" s="193"/>
      <c r="C36" s="188"/>
      <c r="D36" s="300"/>
      <c r="E36" s="76" t="s">
        <v>37</v>
      </c>
      <c r="F36" s="247" t="s">
        <v>75</v>
      </c>
      <c r="G36" s="100" t="s">
        <v>36</v>
      </c>
      <c r="H36" s="320" t="s">
        <v>199</v>
      </c>
      <c r="I36" s="96" t="str">
        <f t="shared" si="2"/>
        <v>Deficiencia de control</v>
      </c>
      <c r="J36" s="93">
        <f t="shared" si="5"/>
        <v>20</v>
      </c>
      <c r="K36" s="98">
        <v>0.23456789122999999</v>
      </c>
      <c r="L36" s="93">
        <f t="shared" si="6"/>
        <v>20.23456789123</v>
      </c>
      <c r="M36" s="48"/>
      <c r="N36" s="48"/>
      <c r="O36" s="48"/>
      <c r="P36" s="48"/>
      <c r="Q36" s="48"/>
    </row>
    <row r="37" spans="1:32" s="49" customFormat="1" ht="31.5" x14ac:dyDescent="0.25">
      <c r="A37" s="92" t="str">
        <f t="shared" si="8"/>
        <v>4c</v>
      </c>
      <c r="B37" s="278"/>
      <c r="C37" s="273"/>
      <c r="D37" s="301"/>
      <c r="E37" s="76" t="s">
        <v>40</v>
      </c>
      <c r="F37" s="247" t="s">
        <v>77</v>
      </c>
      <c r="G37" s="100" t="s">
        <v>36</v>
      </c>
      <c r="H37" s="320" t="s">
        <v>222</v>
      </c>
      <c r="I37" s="96" t="str">
        <f t="shared" si="2"/>
        <v>Deficiencia de control</v>
      </c>
      <c r="J37" s="93">
        <f t="shared" si="5"/>
        <v>20</v>
      </c>
      <c r="K37" s="98">
        <v>0.23456789123399999</v>
      </c>
      <c r="L37" s="93">
        <f t="shared" si="6"/>
        <v>20.234567891234001</v>
      </c>
      <c r="M37" s="48"/>
      <c r="N37" s="48"/>
      <c r="O37" s="48"/>
      <c r="P37" s="48"/>
      <c r="Q37" s="48"/>
    </row>
    <row r="38" spans="1:32" s="49" customFormat="1" ht="71.25" customHeight="1" x14ac:dyDescent="0.25">
      <c r="A38" s="92" t="str">
        <f>5&amp;E38</f>
        <v>5a</v>
      </c>
      <c r="B38" s="279" t="s">
        <v>78</v>
      </c>
      <c r="C38" s="280" t="s">
        <v>79</v>
      </c>
      <c r="D38" s="303" t="s">
        <v>80</v>
      </c>
      <c r="E38" s="76" t="s">
        <v>34</v>
      </c>
      <c r="F38" s="281" t="s">
        <v>81</v>
      </c>
      <c r="G38" s="99" t="s">
        <v>39</v>
      </c>
      <c r="H38" s="319" t="s">
        <v>223</v>
      </c>
      <c r="I38" s="282" t="str">
        <f t="shared" si="2"/>
        <v>Mantenimiento del control</v>
      </c>
      <c r="J38" s="93">
        <f>+IF(G38="Si",60,IF(G38="En proceso",50,40))</f>
        <v>60</v>
      </c>
      <c r="K38" s="93">
        <v>0.31</v>
      </c>
      <c r="L38" s="93">
        <f t="shared" si="3"/>
        <v>60.31</v>
      </c>
    </row>
    <row r="39" spans="1:32" s="49" customFormat="1" ht="47.25" x14ac:dyDescent="0.25">
      <c r="A39" s="92" t="str">
        <f t="shared" ref="A39:A42" si="9">5&amp;E39</f>
        <v>5b</v>
      </c>
      <c r="B39" s="194"/>
      <c r="C39" s="189"/>
      <c r="D39" s="304"/>
      <c r="E39" s="76" t="s">
        <v>37</v>
      </c>
      <c r="F39" s="247" t="s">
        <v>82</v>
      </c>
      <c r="G39" s="100" t="s">
        <v>76</v>
      </c>
      <c r="H39" s="320" t="s">
        <v>224</v>
      </c>
      <c r="I39" s="96" t="str">
        <f t="shared" si="2"/>
        <v>Oportunidad de mejora</v>
      </c>
      <c r="J39" s="93">
        <f>+IF(G39="Si",60,IF(G39="En proceso",50,40))</f>
        <v>50</v>
      </c>
      <c r="K39" s="93">
        <v>0.32300000000000001</v>
      </c>
      <c r="L39" s="93">
        <f t="shared" si="3"/>
        <v>50.323</v>
      </c>
    </row>
    <row r="40" spans="1:32" s="49" customFormat="1" ht="31.5" x14ac:dyDescent="0.25">
      <c r="A40" s="92" t="str">
        <f t="shared" si="9"/>
        <v>5c</v>
      </c>
      <c r="B40" s="194"/>
      <c r="C40" s="189"/>
      <c r="D40" s="304"/>
      <c r="E40" s="76" t="s">
        <v>40</v>
      </c>
      <c r="F40" s="247" t="s">
        <v>83</v>
      </c>
      <c r="G40" s="100" t="s">
        <v>76</v>
      </c>
      <c r="H40" s="320" t="s">
        <v>225</v>
      </c>
      <c r="I40" s="96" t="str">
        <f t="shared" si="2"/>
        <v>Oportunidad de mejora</v>
      </c>
      <c r="J40" s="93">
        <f>+IF(G40="Si",60,IF(G40="En proceso",50,40))</f>
        <v>50</v>
      </c>
      <c r="K40" s="93">
        <v>0.32400000000000001</v>
      </c>
      <c r="L40" s="93">
        <f t="shared" si="3"/>
        <v>50.323999999999998</v>
      </c>
    </row>
    <row r="41" spans="1:32" s="49" customFormat="1" ht="63" x14ac:dyDescent="0.25">
      <c r="A41" s="92" t="str">
        <f t="shared" si="9"/>
        <v>5d</v>
      </c>
      <c r="B41" s="194"/>
      <c r="C41" s="189"/>
      <c r="D41" s="304"/>
      <c r="E41" s="76" t="s">
        <v>42</v>
      </c>
      <c r="F41" s="247" t="s">
        <v>84</v>
      </c>
      <c r="G41" s="100" t="s">
        <v>39</v>
      </c>
      <c r="H41" s="320" t="s">
        <v>200</v>
      </c>
      <c r="I41" s="96" t="str">
        <f t="shared" si="2"/>
        <v>Mantenimiento del control</v>
      </c>
      <c r="J41" s="93">
        <f>+IF(G41="Si",60,IF(G41="En proceso",50,40))</f>
        <v>60</v>
      </c>
      <c r="K41" s="93">
        <v>0.32500000000000001</v>
      </c>
      <c r="L41" s="93">
        <f t="shared" si="3"/>
        <v>60.325000000000003</v>
      </c>
    </row>
    <row r="42" spans="1:32" s="49" customFormat="1" ht="31.5" x14ac:dyDescent="0.25">
      <c r="A42" s="92" t="str">
        <f t="shared" si="9"/>
        <v>5e</v>
      </c>
      <c r="B42" s="283"/>
      <c r="C42" s="284"/>
      <c r="D42" s="305"/>
      <c r="E42" s="76" t="s">
        <v>44</v>
      </c>
      <c r="F42" s="247" t="s">
        <v>85</v>
      </c>
      <c r="G42" s="100" t="s">
        <v>39</v>
      </c>
      <c r="H42" s="320" t="s">
        <v>201</v>
      </c>
      <c r="I42" s="96" t="str">
        <f t="shared" si="2"/>
        <v>Mantenimiento del control</v>
      </c>
      <c r="J42" s="93">
        <f>+IF(G42="Si",60,IF(G42="En proceso",50,40))</f>
        <v>60</v>
      </c>
      <c r="K42" s="93">
        <v>0.32600000000000001</v>
      </c>
      <c r="L42" s="93">
        <f t="shared" si="3"/>
        <v>60.326000000000001</v>
      </c>
    </row>
    <row r="43" spans="1:32" s="49" customFormat="1" ht="23.25" x14ac:dyDescent="0.25">
      <c r="A43" s="92" t="str">
        <f>6&amp;E43</f>
        <v>6a</v>
      </c>
      <c r="B43" s="285" t="s">
        <v>86</v>
      </c>
      <c r="C43" s="286" t="s">
        <v>87</v>
      </c>
      <c r="D43" s="306" t="s">
        <v>88</v>
      </c>
      <c r="E43" s="76" t="s">
        <v>34</v>
      </c>
      <c r="F43" s="247" t="s">
        <v>89</v>
      </c>
      <c r="G43" s="100" t="s">
        <v>39</v>
      </c>
      <c r="H43" s="320" t="s">
        <v>202</v>
      </c>
      <c r="I43" s="96" t="str">
        <f t="shared" si="2"/>
        <v>Mantenimiento del control</v>
      </c>
      <c r="J43" s="93">
        <f t="shared" ref="J43:J49" si="10">+IF(G43="Si",80,IF(G43="En proceso",70,60))</f>
        <v>80</v>
      </c>
      <c r="K43" s="93">
        <v>0.41199999999999998</v>
      </c>
      <c r="L43" s="93">
        <f t="shared" si="3"/>
        <v>80.412000000000006</v>
      </c>
    </row>
    <row r="44" spans="1:32" s="49" customFormat="1" ht="23.25" x14ac:dyDescent="0.25">
      <c r="A44" s="92" t="str">
        <f t="shared" ref="A44:A49" si="11">6&amp;E44</f>
        <v>6b</v>
      </c>
      <c r="B44" s="195"/>
      <c r="C44" s="190"/>
      <c r="D44" s="307"/>
      <c r="E44" s="76" t="s">
        <v>37</v>
      </c>
      <c r="F44" s="247" t="s">
        <v>90</v>
      </c>
      <c r="G44" s="100" t="s">
        <v>39</v>
      </c>
      <c r="H44" s="320" t="s">
        <v>203</v>
      </c>
      <c r="I44" s="96" t="str">
        <f t="shared" si="2"/>
        <v>Mantenimiento del control</v>
      </c>
      <c r="J44" s="93">
        <f t="shared" si="10"/>
        <v>80</v>
      </c>
      <c r="K44" s="93">
        <v>0.4123</v>
      </c>
      <c r="L44" s="93">
        <f t="shared" si="3"/>
        <v>80.412300000000002</v>
      </c>
    </row>
    <row r="45" spans="1:32" s="49" customFormat="1" ht="31.5" x14ac:dyDescent="0.25">
      <c r="A45" s="92" t="str">
        <f t="shared" si="11"/>
        <v>6c</v>
      </c>
      <c r="B45" s="195"/>
      <c r="C45" s="190"/>
      <c r="D45" s="307"/>
      <c r="E45" s="76" t="s">
        <v>40</v>
      </c>
      <c r="F45" s="247" t="s">
        <v>91</v>
      </c>
      <c r="G45" s="100" t="s">
        <v>39</v>
      </c>
      <c r="H45" s="320" t="s">
        <v>226</v>
      </c>
      <c r="I45" s="96" t="str">
        <f t="shared" si="2"/>
        <v>Mantenimiento del control</v>
      </c>
      <c r="J45" s="93">
        <f t="shared" si="10"/>
        <v>80</v>
      </c>
      <c r="K45" s="93">
        <v>0.41233999999999998</v>
      </c>
      <c r="L45" s="93">
        <f t="shared" si="3"/>
        <v>80.41234</v>
      </c>
    </row>
    <row r="46" spans="1:32" s="49" customFormat="1" ht="23.25" x14ac:dyDescent="0.25">
      <c r="A46" s="92" t="str">
        <f t="shared" si="11"/>
        <v>6d</v>
      </c>
      <c r="B46" s="195"/>
      <c r="C46" s="190"/>
      <c r="D46" s="307"/>
      <c r="E46" s="76" t="s">
        <v>42</v>
      </c>
      <c r="F46" s="247" t="s">
        <v>92</v>
      </c>
      <c r="G46" s="100" t="s">
        <v>39</v>
      </c>
      <c r="H46" s="320" t="s">
        <v>227</v>
      </c>
      <c r="I46" s="96" t="str">
        <f t="shared" si="2"/>
        <v>Mantenimiento del control</v>
      </c>
      <c r="J46" s="93">
        <f t="shared" si="10"/>
        <v>80</v>
      </c>
      <c r="K46" s="93">
        <v>0.41234500000000002</v>
      </c>
      <c r="L46" s="93">
        <f t="shared" si="3"/>
        <v>80.412345000000002</v>
      </c>
    </row>
    <row r="47" spans="1:32" s="49" customFormat="1" ht="47.25" x14ac:dyDescent="0.25">
      <c r="A47" s="92" t="str">
        <f t="shared" si="11"/>
        <v>6e</v>
      </c>
      <c r="B47" s="195"/>
      <c r="C47" s="190"/>
      <c r="D47" s="307"/>
      <c r="E47" s="76" t="s">
        <v>44</v>
      </c>
      <c r="F47" s="247" t="s">
        <v>93</v>
      </c>
      <c r="G47" s="100" t="s">
        <v>39</v>
      </c>
      <c r="H47" s="320" t="s">
        <v>228</v>
      </c>
      <c r="I47" s="96" t="str">
        <f t="shared" si="2"/>
        <v>Mantenimiento del control</v>
      </c>
      <c r="J47" s="93">
        <f t="shared" si="10"/>
        <v>80</v>
      </c>
      <c r="K47" s="93">
        <v>0.41234559999999998</v>
      </c>
      <c r="L47" s="93">
        <f t="shared" si="3"/>
        <v>80.412345599999995</v>
      </c>
    </row>
    <row r="48" spans="1:32" s="49" customFormat="1" ht="47.25" x14ac:dyDescent="0.25">
      <c r="A48" s="92" t="str">
        <f t="shared" si="11"/>
        <v>6f</v>
      </c>
      <c r="B48" s="195"/>
      <c r="C48" s="190"/>
      <c r="D48" s="307"/>
      <c r="E48" s="76" t="s">
        <v>46</v>
      </c>
      <c r="F48" s="247" t="s">
        <v>94</v>
      </c>
      <c r="G48" s="100" t="s">
        <v>39</v>
      </c>
      <c r="H48" s="320" t="s">
        <v>229</v>
      </c>
      <c r="I48" s="96" t="str">
        <f t="shared" si="2"/>
        <v>Mantenimiento del control</v>
      </c>
      <c r="J48" s="93">
        <f t="shared" si="10"/>
        <v>80</v>
      </c>
      <c r="K48" s="93">
        <v>0.41234567</v>
      </c>
      <c r="L48" s="93">
        <f t="shared" si="3"/>
        <v>80.412345669999993</v>
      </c>
    </row>
    <row r="49" spans="1:17" s="49" customFormat="1" ht="31.5" x14ac:dyDescent="0.25">
      <c r="A49" s="92" t="str">
        <f t="shared" si="11"/>
        <v>6g</v>
      </c>
      <c r="B49" s="287"/>
      <c r="C49" s="288"/>
      <c r="D49" s="308"/>
      <c r="E49" s="76" t="s">
        <v>48</v>
      </c>
      <c r="F49" s="247" t="s">
        <v>95</v>
      </c>
      <c r="G49" s="100" t="s">
        <v>39</v>
      </c>
      <c r="H49" s="320" t="s">
        <v>230</v>
      </c>
      <c r="I49" s="96" t="str">
        <f t="shared" si="2"/>
        <v>Mantenimiento del control</v>
      </c>
      <c r="J49" s="93">
        <f t="shared" si="10"/>
        <v>80</v>
      </c>
      <c r="K49" s="93">
        <v>0.41234567799999999</v>
      </c>
      <c r="L49" s="93">
        <f t="shared" si="3"/>
        <v>80.412345677999994</v>
      </c>
    </row>
    <row r="50" spans="1:17" s="49" customFormat="1" ht="31.5" x14ac:dyDescent="0.25">
      <c r="A50" s="92" t="str">
        <f>7&amp;E50</f>
        <v>7a</v>
      </c>
      <c r="B50" s="289" t="s">
        <v>96</v>
      </c>
      <c r="C50" s="290" t="s">
        <v>97</v>
      </c>
      <c r="D50" s="295" t="s">
        <v>98</v>
      </c>
      <c r="E50" s="76" t="s">
        <v>34</v>
      </c>
      <c r="F50" s="247" t="s">
        <v>99</v>
      </c>
      <c r="G50" s="100" t="s">
        <v>39</v>
      </c>
      <c r="H50" s="320" t="s">
        <v>231</v>
      </c>
      <c r="I50" s="96" t="str">
        <f t="shared" si="2"/>
        <v>Mantenimiento del control</v>
      </c>
      <c r="J50" s="93">
        <f>+IF(G50="Si",120,IF(G50="En proceso",100,80))</f>
        <v>120</v>
      </c>
      <c r="K50" s="93">
        <v>0.85099999999999998</v>
      </c>
      <c r="L50" s="93">
        <f t="shared" si="3"/>
        <v>120.851</v>
      </c>
    </row>
    <row r="51" spans="1:17" s="49" customFormat="1" ht="63" x14ac:dyDescent="0.25">
      <c r="A51" s="92" t="str">
        <f t="shared" ref="A51:A53" si="12">7&amp;E51</f>
        <v>7d</v>
      </c>
      <c r="B51" s="185"/>
      <c r="C51" s="191"/>
      <c r="D51" s="296"/>
      <c r="E51" s="76" t="s">
        <v>42</v>
      </c>
      <c r="F51" s="247" t="s">
        <v>100</v>
      </c>
      <c r="G51" s="100" t="s">
        <v>39</v>
      </c>
      <c r="H51" s="320" t="s">
        <v>204</v>
      </c>
      <c r="I51" s="96" t="str">
        <f t="shared" si="2"/>
        <v>Mantenimiento del control</v>
      </c>
      <c r="J51" s="93">
        <f t="shared" ref="J51:J59" si="13">+IF(G51="Si",120,IF(G51="En proceso",100,80))</f>
        <v>120</v>
      </c>
      <c r="K51" s="93">
        <v>0.85119999999999996</v>
      </c>
      <c r="L51" s="93">
        <f t="shared" si="3"/>
        <v>120.85120000000001</v>
      </c>
    </row>
    <row r="52" spans="1:17" s="49" customFormat="1" ht="31.5" x14ac:dyDescent="0.25">
      <c r="A52" s="92" t="str">
        <f t="shared" si="12"/>
        <v>7f</v>
      </c>
      <c r="B52" s="185"/>
      <c r="C52" s="191"/>
      <c r="D52" s="296"/>
      <c r="E52" s="76" t="s">
        <v>46</v>
      </c>
      <c r="F52" s="247" t="s">
        <v>101</v>
      </c>
      <c r="G52" s="100" t="s">
        <v>39</v>
      </c>
      <c r="H52" s="320" t="s">
        <v>205</v>
      </c>
      <c r="I52" s="96" t="str">
        <f t="shared" si="2"/>
        <v>Mantenimiento del control</v>
      </c>
      <c r="J52" s="93">
        <f t="shared" si="13"/>
        <v>120</v>
      </c>
      <c r="K52" s="93">
        <v>0.85123000000000004</v>
      </c>
      <c r="L52" s="93">
        <f t="shared" si="3"/>
        <v>120.85123</v>
      </c>
    </row>
    <row r="53" spans="1:17" s="49" customFormat="1" ht="31.5" x14ac:dyDescent="0.25">
      <c r="A53" s="92" t="str">
        <f t="shared" si="12"/>
        <v>7g</v>
      </c>
      <c r="B53" s="291"/>
      <c r="C53" s="292"/>
      <c r="D53" s="297"/>
      <c r="E53" s="76" t="s">
        <v>48</v>
      </c>
      <c r="F53" s="247" t="s">
        <v>102</v>
      </c>
      <c r="G53" s="100" t="s">
        <v>39</v>
      </c>
      <c r="H53" s="320" t="s">
        <v>206</v>
      </c>
      <c r="I53" s="96" t="str">
        <f t="shared" si="2"/>
        <v>Mantenimiento del control</v>
      </c>
      <c r="J53" s="93">
        <f t="shared" si="13"/>
        <v>120</v>
      </c>
      <c r="K53" s="93">
        <v>0.85123400000000005</v>
      </c>
      <c r="L53" s="93">
        <f t="shared" si="3"/>
        <v>120.85123400000001</v>
      </c>
    </row>
    <row r="54" spans="1:17" s="49" customFormat="1" ht="112.5" customHeight="1" x14ac:dyDescent="0.25">
      <c r="A54" s="92" t="str">
        <f>8&amp;E54</f>
        <v>8h</v>
      </c>
      <c r="B54" s="293" t="s">
        <v>103</v>
      </c>
      <c r="C54" s="294" t="s">
        <v>97</v>
      </c>
      <c r="D54" s="327" t="s">
        <v>104</v>
      </c>
      <c r="E54" s="76" t="s">
        <v>50</v>
      </c>
      <c r="F54" s="247" t="s">
        <v>105</v>
      </c>
      <c r="G54" s="100" t="s">
        <v>39</v>
      </c>
      <c r="H54" s="320" t="s">
        <v>232</v>
      </c>
      <c r="I54" s="96" t="str">
        <f t="shared" si="2"/>
        <v>Mantenimiento del control</v>
      </c>
      <c r="J54" s="93">
        <f t="shared" si="13"/>
        <v>120</v>
      </c>
      <c r="K54" s="93">
        <v>0.85123450000000001</v>
      </c>
      <c r="L54" s="93">
        <f t="shared" si="3"/>
        <v>120.8512345</v>
      </c>
    </row>
    <row r="55" spans="1:17" s="49" customFormat="1" ht="31.5" x14ac:dyDescent="0.25">
      <c r="A55" s="92" t="str">
        <f>9&amp;E55</f>
        <v>9a</v>
      </c>
      <c r="B55" s="185" t="s">
        <v>106</v>
      </c>
      <c r="C55" s="191" t="s">
        <v>97</v>
      </c>
      <c r="D55" s="296" t="s">
        <v>107</v>
      </c>
      <c r="E55" s="261" t="s">
        <v>34</v>
      </c>
      <c r="F55" s="262" t="s">
        <v>108</v>
      </c>
      <c r="G55" s="263" t="s">
        <v>39</v>
      </c>
      <c r="H55" s="325" t="s">
        <v>233</v>
      </c>
      <c r="I55" s="264" t="str">
        <f t="shared" si="2"/>
        <v>Mantenimiento del control</v>
      </c>
      <c r="J55" s="93">
        <f t="shared" si="13"/>
        <v>120</v>
      </c>
      <c r="K55" s="98">
        <v>0.85123455999999997</v>
      </c>
      <c r="L55" s="93">
        <f t="shared" si="3"/>
        <v>120.85123455999999</v>
      </c>
      <c r="M55" s="48"/>
      <c r="N55" s="48"/>
      <c r="O55" s="48"/>
      <c r="P55" s="48"/>
      <c r="Q55" s="48"/>
    </row>
    <row r="56" spans="1:17" s="49" customFormat="1" ht="23.25" x14ac:dyDescent="0.25">
      <c r="A56" s="92" t="str">
        <f t="shared" ref="A56:A59" si="14">9&amp;E56</f>
        <v>9b</v>
      </c>
      <c r="B56" s="185"/>
      <c r="C56" s="191"/>
      <c r="D56" s="296"/>
      <c r="E56" s="76" t="s">
        <v>37</v>
      </c>
      <c r="F56" s="247" t="s">
        <v>109</v>
      </c>
      <c r="G56" s="100" t="s">
        <v>76</v>
      </c>
      <c r="H56" s="320" t="s">
        <v>207</v>
      </c>
      <c r="I56" s="96" t="str">
        <f t="shared" si="2"/>
        <v>Oportunidad de mejora</v>
      </c>
      <c r="J56" s="93">
        <f t="shared" si="13"/>
        <v>100</v>
      </c>
      <c r="K56" s="98">
        <v>0.851234567</v>
      </c>
      <c r="L56" s="93">
        <f t="shared" si="3"/>
        <v>100.85123456700001</v>
      </c>
      <c r="M56" s="48"/>
      <c r="N56" s="48"/>
      <c r="O56" s="48"/>
      <c r="P56" s="48"/>
      <c r="Q56" s="48"/>
    </row>
    <row r="57" spans="1:17" s="49" customFormat="1" ht="31.5" x14ac:dyDescent="0.25">
      <c r="A57" s="92" t="str">
        <f t="shared" si="14"/>
        <v>9c</v>
      </c>
      <c r="B57" s="185"/>
      <c r="C57" s="191"/>
      <c r="D57" s="296"/>
      <c r="E57" s="76" t="s">
        <v>40</v>
      </c>
      <c r="F57" s="247" t="s">
        <v>110</v>
      </c>
      <c r="G57" s="100" t="s">
        <v>39</v>
      </c>
      <c r="H57" s="320" t="s">
        <v>208</v>
      </c>
      <c r="I57" s="96" t="str">
        <f t="shared" si="2"/>
        <v>Mantenimiento del control</v>
      </c>
      <c r="J57" s="93">
        <f t="shared" si="13"/>
        <v>120</v>
      </c>
      <c r="K57" s="98">
        <v>0.85123456779999995</v>
      </c>
      <c r="L57" s="93">
        <f t="shared" si="3"/>
        <v>120.85123456780001</v>
      </c>
      <c r="M57" s="48"/>
      <c r="N57" s="48"/>
      <c r="O57" s="48"/>
      <c r="P57" s="48"/>
      <c r="Q57" s="48"/>
    </row>
    <row r="58" spans="1:17" s="49" customFormat="1" ht="23.25" x14ac:dyDescent="0.25">
      <c r="A58" s="92" t="str">
        <f t="shared" si="14"/>
        <v>9d</v>
      </c>
      <c r="B58" s="185"/>
      <c r="C58" s="191"/>
      <c r="D58" s="296"/>
      <c r="E58" s="76" t="s">
        <v>42</v>
      </c>
      <c r="F58" s="247" t="s">
        <v>111</v>
      </c>
      <c r="G58" s="100" t="s">
        <v>39</v>
      </c>
      <c r="H58" s="320" t="s">
        <v>209</v>
      </c>
      <c r="I58" s="96" t="str">
        <f t="shared" si="2"/>
        <v>Mantenimiento del control</v>
      </c>
      <c r="J58" s="93">
        <f t="shared" si="13"/>
        <v>120</v>
      </c>
      <c r="K58" s="98">
        <v>0.85123456788999996</v>
      </c>
      <c r="L58" s="93">
        <f t="shared" si="3"/>
        <v>120.85123456789</v>
      </c>
      <c r="M58" s="48"/>
      <c r="N58" s="48"/>
      <c r="O58" s="48"/>
      <c r="P58" s="48"/>
      <c r="Q58" s="48"/>
    </row>
    <row r="59" spans="1:17" s="49" customFormat="1" ht="32.25" thickBot="1" x14ac:dyDescent="0.3">
      <c r="A59" s="92" t="str">
        <f t="shared" si="14"/>
        <v>9e</v>
      </c>
      <c r="B59" s="186"/>
      <c r="C59" s="191"/>
      <c r="D59" s="297"/>
      <c r="E59" s="77" t="s">
        <v>44</v>
      </c>
      <c r="F59" s="248" t="s">
        <v>112</v>
      </c>
      <c r="G59" s="101" t="s">
        <v>76</v>
      </c>
      <c r="H59" s="326" t="s">
        <v>234</v>
      </c>
      <c r="I59" s="97" t="str">
        <f t="shared" si="2"/>
        <v>Oportunidad de mejora</v>
      </c>
      <c r="J59" s="93">
        <f t="shared" si="13"/>
        <v>100</v>
      </c>
      <c r="K59" s="98">
        <v>0.85123456789100005</v>
      </c>
      <c r="L59" s="93">
        <f t="shared" si="3"/>
        <v>100.851234567891</v>
      </c>
      <c r="M59" s="48"/>
      <c r="N59" s="48"/>
      <c r="O59" s="48"/>
      <c r="P59" s="48"/>
      <c r="Q59" s="48"/>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B14:I14"/>
    <mergeCell ref="D43:D49"/>
    <mergeCell ref="B43:B49"/>
    <mergeCell ref="D50:D53"/>
    <mergeCell ref="B50:B53"/>
    <mergeCell ref="D16:D27"/>
    <mergeCell ref="B16:B27"/>
    <mergeCell ref="B28:B31"/>
    <mergeCell ref="D28:D31"/>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s>
  <dataValidations count="2">
    <dataValidation type="list" allowBlank="1" showInputMessage="1" showErrorMessage="1" sqref="G55:G59 G16:G53">
      <formula1>"Si, No, En proceso"</formula1>
    </dataValidation>
    <dataValidation type="list" allowBlank="1" showInputMessage="1" showErrorMessage="1" sqref="G54">
      <formula1>"Si, 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4"/>
  <sheetViews>
    <sheetView tabSelected="1" topLeftCell="A36" zoomScale="80" zoomScaleNormal="80" workbookViewId="0">
      <selection activeCell="J68" sqref="J68"/>
    </sheetView>
  </sheetViews>
  <sheetFormatPr baseColWidth="10" defaultColWidth="11.42578125" defaultRowHeight="15" x14ac:dyDescent="0.25"/>
  <cols>
    <col min="3" max="3" width="22.85546875" customWidth="1"/>
    <col min="4" max="4" width="22.5703125" customWidth="1"/>
    <col min="5" max="5" width="53.42578125" customWidth="1"/>
    <col min="7" max="7" width="28.28515625" customWidth="1"/>
    <col min="8" max="8" width="4.85546875" customWidth="1"/>
    <col min="9" max="9" width="15.28515625" customWidth="1"/>
    <col min="10" max="10" width="22.42578125" customWidth="1"/>
    <col min="11" max="29" width="11.42578125" style="1"/>
  </cols>
  <sheetData>
    <row r="1" spans="1:11" x14ac:dyDescent="0.25">
      <c r="A1" s="1"/>
      <c r="B1" s="1"/>
      <c r="C1" s="1"/>
      <c r="D1" s="1"/>
      <c r="E1" s="1"/>
      <c r="F1" s="1"/>
      <c r="G1" s="1"/>
      <c r="H1" s="1"/>
      <c r="I1" s="1"/>
      <c r="J1" s="1"/>
    </row>
    <row r="2" spans="1:11" s="1" customFormat="1" x14ac:dyDescent="0.25"/>
    <row r="3" spans="1:11" s="1" customFormat="1" x14ac:dyDescent="0.25"/>
    <row r="4" spans="1:11" x14ac:dyDescent="0.25">
      <c r="A4" s="1"/>
      <c r="B4" s="1"/>
      <c r="C4" s="1"/>
      <c r="D4" s="1"/>
      <c r="E4" s="1"/>
      <c r="F4" s="1"/>
      <c r="G4" s="1"/>
      <c r="H4" s="1"/>
      <c r="I4" s="1"/>
      <c r="J4" s="1"/>
    </row>
    <row r="5" spans="1:11" x14ac:dyDescent="0.25">
      <c r="A5" s="1"/>
      <c r="B5" s="1"/>
      <c r="C5" s="1"/>
      <c r="D5" s="1"/>
      <c r="E5" s="1"/>
      <c r="F5" s="1"/>
      <c r="G5" s="1"/>
      <c r="H5" s="1"/>
      <c r="I5" s="1"/>
      <c r="J5" s="1"/>
    </row>
    <row r="6" spans="1:11" ht="15.75" thickBot="1" x14ac:dyDescent="0.3">
      <c r="A6" s="1"/>
      <c r="B6" s="1"/>
      <c r="C6" s="1"/>
      <c r="D6" s="1"/>
      <c r="E6" s="1"/>
      <c r="F6" s="1"/>
      <c r="G6" s="1"/>
      <c r="H6" s="1"/>
      <c r="I6" s="1"/>
      <c r="J6" s="1"/>
    </row>
    <row r="7" spans="1:11" ht="26.25" thickBot="1" x14ac:dyDescent="0.3">
      <c r="A7" s="1"/>
      <c r="B7" s="1"/>
      <c r="C7" s="229" t="s">
        <v>113</v>
      </c>
      <c r="D7" s="230"/>
      <c r="E7" s="230"/>
      <c r="F7" s="230"/>
      <c r="G7" s="230"/>
      <c r="H7" s="230"/>
      <c r="I7" s="230"/>
      <c r="J7" s="230"/>
      <c r="K7" s="231"/>
    </row>
    <row r="8" spans="1:11" s="1" customFormat="1" ht="15.75" thickBot="1" x14ac:dyDescent="0.3">
      <c r="C8" s="39"/>
      <c r="D8" s="39"/>
      <c r="E8" s="40"/>
      <c r="F8" s="40"/>
      <c r="G8" s="40"/>
      <c r="H8" s="40"/>
      <c r="I8" s="50"/>
      <c r="J8" s="40"/>
      <c r="K8" s="40"/>
    </row>
    <row r="9" spans="1:11" ht="21" thickBot="1" x14ac:dyDescent="0.3">
      <c r="A9" s="1"/>
      <c r="B9" s="1"/>
      <c r="C9" s="168" t="s">
        <v>15</v>
      </c>
      <c r="D9" s="169"/>
      <c r="E9" s="169" t="s">
        <v>16</v>
      </c>
      <c r="F9" s="180"/>
      <c r="G9" s="40"/>
      <c r="H9" s="40"/>
      <c r="I9" s="50"/>
      <c r="J9" s="40"/>
      <c r="K9" s="40"/>
    </row>
    <row r="10" spans="1:11" ht="54" customHeight="1" x14ac:dyDescent="0.25">
      <c r="A10" s="1"/>
      <c r="B10" s="1"/>
      <c r="C10" s="181" t="s">
        <v>17</v>
      </c>
      <c r="D10" s="182"/>
      <c r="E10" s="183" t="s">
        <v>18</v>
      </c>
      <c r="F10" s="184"/>
      <c r="G10" s="41"/>
      <c r="H10" s="42">
        <v>1</v>
      </c>
      <c r="I10" s="50"/>
      <c r="J10" s="40"/>
      <c r="K10" s="40"/>
    </row>
    <row r="11" spans="1:11" ht="46.5" customHeight="1" x14ac:dyDescent="0.25">
      <c r="A11" s="1"/>
      <c r="B11" s="1"/>
      <c r="C11" s="170" t="s">
        <v>19</v>
      </c>
      <c r="D11" s="171"/>
      <c r="E11" s="172" t="s">
        <v>114</v>
      </c>
      <c r="F11" s="173"/>
      <c r="G11" s="43" t="s">
        <v>115</v>
      </c>
      <c r="H11" s="42">
        <v>0.75</v>
      </c>
      <c r="I11" s="50"/>
      <c r="J11" s="40"/>
      <c r="K11" s="40"/>
    </row>
    <row r="12" spans="1:11" ht="70.5" customHeight="1" thickBot="1" x14ac:dyDescent="0.3">
      <c r="A12" s="1"/>
      <c r="B12" s="1"/>
      <c r="C12" s="174" t="s">
        <v>21</v>
      </c>
      <c r="D12" s="175"/>
      <c r="E12" s="176" t="s">
        <v>116</v>
      </c>
      <c r="F12" s="177"/>
      <c r="G12" s="44"/>
      <c r="H12" s="42">
        <v>0.25</v>
      </c>
      <c r="I12" s="50"/>
      <c r="J12" s="40"/>
      <c r="K12" s="40"/>
    </row>
    <row r="13" spans="1:11" s="1" customFormat="1" x14ac:dyDescent="0.25"/>
    <row r="14" spans="1:11" s="1" customFormat="1" x14ac:dyDescent="0.25"/>
    <row r="15" spans="1:11" s="1" customFormat="1" x14ac:dyDescent="0.25"/>
    <row r="16" spans="1:11" s="1" customFormat="1" ht="15.75" thickBot="1" x14ac:dyDescent="0.3"/>
    <row r="17" spans="1:10" x14ac:dyDescent="0.25">
      <c r="A17" s="1"/>
      <c r="B17" s="1"/>
      <c r="C17" s="221" t="s">
        <v>117</v>
      </c>
      <c r="D17" s="223" t="s">
        <v>118</v>
      </c>
      <c r="E17" s="224"/>
      <c r="F17" s="225" t="s">
        <v>119</v>
      </c>
      <c r="G17" s="227" t="s">
        <v>120</v>
      </c>
      <c r="H17" s="38"/>
      <c r="I17" s="216" t="s">
        <v>121</v>
      </c>
      <c r="J17" s="216" t="s">
        <v>122</v>
      </c>
    </row>
    <row r="18" spans="1:10" ht="36" customHeight="1" thickBot="1" x14ac:dyDescent="0.3">
      <c r="A18" s="1"/>
      <c r="B18" s="1"/>
      <c r="C18" s="222"/>
      <c r="D18" s="102" t="s">
        <v>123</v>
      </c>
      <c r="E18" s="103" t="s">
        <v>27</v>
      </c>
      <c r="F18" s="226"/>
      <c r="G18" s="228"/>
      <c r="H18" s="38"/>
      <c r="I18" s="217"/>
      <c r="J18" s="217"/>
    </row>
    <row r="19" spans="1:10" ht="65.25" customHeight="1" x14ac:dyDescent="0.25">
      <c r="A19" s="1"/>
      <c r="B19" s="1"/>
      <c r="C19" s="117">
        <v>1</v>
      </c>
      <c r="D19" s="218" t="s">
        <v>32</v>
      </c>
      <c r="E19" s="104" t="str">
        <f>+IFERROR(INDEX(Hoja1!$E$2:$E$45,MATCH('Análisis Resultados'!C19,Hoja1!$H$2:$H$45,0)),"")</f>
        <v>Documento interno o adopción del MECI actualizado</v>
      </c>
      <c r="F19" s="105" t="str">
        <f>+IFERROR(VLOOKUP(C19,Hoja1!$H$2:$I$45,2,0),"")</f>
        <v>Si</v>
      </c>
      <c r="G19" s="106"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H19" s="18"/>
      <c r="I19" s="118">
        <f>+IF(F19="Si",1,IF(F19="En proceso",0.5,0))</f>
        <v>1</v>
      </c>
      <c r="J19" s="200">
        <f>+AVERAGE(I19:I30)</f>
        <v>1</v>
      </c>
    </row>
    <row r="20" spans="1:10" ht="57" x14ac:dyDescent="0.25">
      <c r="A20" s="1"/>
      <c r="B20" s="1"/>
      <c r="C20" s="117">
        <v>2</v>
      </c>
      <c r="D20" s="219"/>
      <c r="E20" s="309" t="str">
        <f>+IFERROR(INDEX(Hoja1!$E$2:$E$45,MATCH('Análisis Resultados'!C20,Hoja1!$H$2:$H$45,0)),"")</f>
        <v>Un documento tal como un código de ética, integridad u otro que formalice los estándares de conducta, los principios institucionales o los valores del servicio público</v>
      </c>
      <c r="F20" s="107" t="str">
        <f>+IFERROR(VLOOKUP(C20,Hoja1!$H$2:$I$45,2,0),"")</f>
        <v>Si</v>
      </c>
      <c r="G20" s="108"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H20" s="18"/>
      <c r="I20" s="119">
        <f t="shared" ref="I20:I62" si="1">+IF(F20="Si",1,IF(F20="En proceso",0.5,0))</f>
        <v>1</v>
      </c>
      <c r="J20" s="201"/>
    </row>
    <row r="21" spans="1:10" ht="45" x14ac:dyDescent="0.25">
      <c r="A21" s="1"/>
      <c r="B21" s="1"/>
      <c r="C21" s="117">
        <v>3</v>
      </c>
      <c r="D21" s="219"/>
      <c r="E21" s="309" t="str">
        <f>+IFERROR(INDEX(Hoja1!$E$2:$E$45,MATCH('Análisis Resultados'!C21,Hoja1!$H$2:$H$45,0)),"")</f>
        <v>Planes, programas y proyectos de acuerdo con las normas que rigen y atendiendo con su propósito fundamental institucional (misión)</v>
      </c>
      <c r="F21" s="107" t="str">
        <f>+IFERROR(VLOOKUP(C21,Hoja1!$H$2:$I$45,2,0),"")</f>
        <v>Si</v>
      </c>
      <c r="G21" s="108" t="str">
        <f t="shared" si="0"/>
        <v>Existe requerimiento pero se requiere actividades  dirigidas a su mantenimiento dentro del marco de las lineas de defensa.</v>
      </c>
      <c r="H21" s="18"/>
      <c r="I21" s="119">
        <f t="shared" si="1"/>
        <v>1</v>
      </c>
      <c r="J21" s="201"/>
    </row>
    <row r="22" spans="1:10" ht="56.25" customHeight="1" x14ac:dyDescent="0.25">
      <c r="A22" s="1"/>
      <c r="B22" s="1"/>
      <c r="C22" s="117">
        <v>4</v>
      </c>
      <c r="D22" s="219"/>
      <c r="E22" s="309" t="str">
        <f>+IFERROR(INDEX(Hoja1!$E$2:$E$45,MATCH('Análisis Resultados'!C22,Hoja1!$H$2:$H$45,0)),"")</f>
        <v>Una estructura organizacional formalizada (organigrama)</v>
      </c>
      <c r="F22" s="107" t="str">
        <f>+IFERROR(VLOOKUP(C22,Hoja1!$H$2:$I$45,2,0),"")</f>
        <v>Si</v>
      </c>
      <c r="G22" s="108" t="str">
        <f t="shared" si="0"/>
        <v>Existe requerimiento pero se requiere actividades  dirigidas a su mantenimiento dentro del marco de las lineas de defensa.</v>
      </c>
      <c r="H22" s="18"/>
      <c r="I22" s="119">
        <f t="shared" si="1"/>
        <v>1</v>
      </c>
      <c r="J22" s="201"/>
    </row>
    <row r="23" spans="1:10" ht="45" x14ac:dyDescent="0.25">
      <c r="A23" s="1"/>
      <c r="B23" s="1"/>
      <c r="C23" s="117">
        <v>5</v>
      </c>
      <c r="D23" s="219"/>
      <c r="E23" s="309" t="str">
        <f>+IFERROR(INDEX(Hoja1!$E$2:$E$45,MATCH('Análisis Resultados'!C23,Hoja1!$H$2:$H$45,0)),"")</f>
        <v>Un manual de funciones que describa los empleos de la entidad</v>
      </c>
      <c r="F23" s="107" t="str">
        <f>+IFERROR(VLOOKUP(C23,Hoja1!$H$2:$I$45,2,0),"")</f>
        <v>Si</v>
      </c>
      <c r="G23" s="108" t="str">
        <f t="shared" si="0"/>
        <v>Existe requerimiento pero se requiere actividades  dirigidas a su mantenimiento dentro del marco de las lineas de defensa.</v>
      </c>
      <c r="H23" s="18"/>
      <c r="I23" s="119">
        <f t="shared" si="1"/>
        <v>1</v>
      </c>
      <c r="J23" s="201"/>
    </row>
    <row r="24" spans="1:10" ht="45" x14ac:dyDescent="0.25">
      <c r="A24" s="1"/>
      <c r="B24" s="1"/>
      <c r="C24" s="117">
        <v>6</v>
      </c>
      <c r="D24" s="219"/>
      <c r="E24" s="309" t="str">
        <f>+IFERROR(INDEX(Hoja1!$E$2:$E$45,MATCH('Análisis Resultados'!C24,Hoja1!$H$2:$H$45,0)),"")</f>
        <v>La documentación de sus procesos y procedimientos o bien una lista de actividades principales que permitan conocer el estado de su gestión</v>
      </c>
      <c r="F24" s="107" t="str">
        <f>+IFERROR(VLOOKUP(C24,Hoja1!$H$2:$I$45,2,0),"")</f>
        <v>Si</v>
      </c>
      <c r="G24" s="108" t="str">
        <f t="shared" si="0"/>
        <v>Existe requerimiento pero se requiere actividades  dirigidas a su mantenimiento dentro del marco de las lineas de defensa.</v>
      </c>
      <c r="H24" s="18"/>
      <c r="I24" s="119">
        <f t="shared" si="1"/>
        <v>1</v>
      </c>
      <c r="J24" s="201"/>
    </row>
    <row r="25" spans="1:10" ht="45" x14ac:dyDescent="0.25">
      <c r="A25" s="1"/>
      <c r="B25" s="1"/>
      <c r="C25" s="117">
        <v>7</v>
      </c>
      <c r="D25" s="219"/>
      <c r="E25" s="309" t="str">
        <f>+IFERROR(INDEX(Hoja1!$E$2:$E$45,MATCH('Análisis Resultados'!C25,Hoja1!$H$2:$H$45,0)),"")</f>
        <v>Vinculación de los servidores públicos de acuerdo con el marco normativo que les rige (carrera administrativa, libre nombramiento y remoción, entre otros)</v>
      </c>
      <c r="F25" s="107" t="str">
        <f>+IFERROR(VLOOKUP(C25,Hoja1!$H$2:$I$45,2,0),"")</f>
        <v>Si</v>
      </c>
      <c r="G25" s="108" t="str">
        <f t="shared" si="0"/>
        <v>Existe requerimiento pero se requiere actividades  dirigidas a su mantenimiento dentro del marco de las lineas de defensa.</v>
      </c>
      <c r="H25" s="18"/>
      <c r="I25" s="119">
        <f t="shared" si="1"/>
        <v>1</v>
      </c>
      <c r="J25" s="201"/>
    </row>
    <row r="26" spans="1:10" ht="45" x14ac:dyDescent="0.25">
      <c r="A26" s="1"/>
      <c r="B26" s="1"/>
      <c r="C26" s="117">
        <v>8</v>
      </c>
      <c r="D26" s="219"/>
      <c r="E26" s="309" t="str">
        <f>+IFERROR(INDEX(Hoja1!$E$2:$E$45,MATCH('Análisis Resultados'!C26,Hoja1!$H$2:$H$45,0)),"")</f>
        <v>Procesos de inducción, capacitación y bienestar social para sus servidores públicos, de manera directa o en asociación con otras entidades municipales</v>
      </c>
      <c r="F26" s="107" t="str">
        <f>+IFERROR(VLOOKUP(C26,Hoja1!$H$2:$I$45,2,0),"")</f>
        <v>Si</v>
      </c>
      <c r="G26" s="108" t="str">
        <f t="shared" si="0"/>
        <v>Existe requerimiento pero se requiere actividades  dirigidas a su mantenimiento dentro del marco de las lineas de defensa.</v>
      </c>
      <c r="H26" s="18"/>
      <c r="I26" s="119">
        <f t="shared" si="1"/>
        <v>1</v>
      </c>
      <c r="J26" s="201"/>
    </row>
    <row r="27" spans="1:10" ht="45" x14ac:dyDescent="0.25">
      <c r="A27" s="1"/>
      <c r="B27" s="1"/>
      <c r="C27" s="117">
        <v>9</v>
      </c>
      <c r="D27" s="219"/>
      <c r="E27" s="309" t="str">
        <f>+IFERROR(INDEX(Hoja1!$E$2:$E$45,MATCH('Análisis Resultados'!C27,Hoja1!$H$2:$H$45,0)),"")</f>
        <v>Evaluación a los servidores públicos de acuerdo con el marco normativo que le rige</v>
      </c>
      <c r="F27" s="107" t="str">
        <f>+IFERROR(VLOOKUP(C27,Hoja1!$H$2:$I$45,2,0),"")</f>
        <v>Si</v>
      </c>
      <c r="G27" s="108" t="str">
        <f t="shared" si="0"/>
        <v>Existe requerimiento pero se requiere actividades  dirigidas a su mantenimiento dentro del marco de las lineas de defensa.</v>
      </c>
      <c r="H27" s="18"/>
      <c r="I27" s="119">
        <f t="shared" si="1"/>
        <v>1</v>
      </c>
      <c r="J27" s="201"/>
    </row>
    <row r="28" spans="1:10" ht="45" x14ac:dyDescent="0.25">
      <c r="A28" s="1"/>
      <c r="B28" s="1"/>
      <c r="C28" s="117">
        <v>10</v>
      </c>
      <c r="D28" s="219"/>
      <c r="E28" s="309" t="str">
        <f>+IFERROR(INDEX(Hoja1!$E$2:$E$45,MATCH('Análisis Resultados'!C28,Hoja1!$H$2:$H$45,0)),"")</f>
        <v>Procesos de desvinculación de servidores de acuerdo con lo previsto en la Constitución Política y las leyes</v>
      </c>
      <c r="F28" s="107" t="str">
        <f>+IFERROR(VLOOKUP(C28,Hoja1!$H$2:$I$45,2,0),"")</f>
        <v>Si</v>
      </c>
      <c r="G28" s="108" t="str">
        <f t="shared" si="0"/>
        <v>Existe requerimiento pero se requiere actividades  dirigidas a su mantenimiento dentro del marco de las lineas de defensa.</v>
      </c>
      <c r="H28" s="18"/>
      <c r="I28" s="119">
        <f t="shared" si="1"/>
        <v>1</v>
      </c>
      <c r="J28" s="201"/>
    </row>
    <row r="29" spans="1:10" ht="45" x14ac:dyDescent="0.25">
      <c r="A29" s="1"/>
      <c r="B29" s="1"/>
      <c r="C29" s="117">
        <v>11</v>
      </c>
      <c r="D29" s="219"/>
      <c r="E29" s="309" t="str">
        <f>+IFERROR(INDEX(Hoja1!$E$2:$E$45,MATCH('Análisis Resultados'!C29,Hoja1!$H$2:$H$45,0)),"")</f>
        <v>Mecanismos de rendición de cuentas a la ciudadanía</v>
      </c>
      <c r="F29" s="107" t="str">
        <f>+IFERROR(VLOOKUP(C29,Hoja1!$H$2:$I$45,2,0),"")</f>
        <v>Si</v>
      </c>
      <c r="G29" s="108"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H29" s="18"/>
      <c r="I29" s="119">
        <f t="shared" si="1"/>
        <v>1</v>
      </c>
      <c r="J29" s="201"/>
    </row>
    <row r="30" spans="1:10" ht="45.75" thickBot="1" x14ac:dyDescent="0.3">
      <c r="A30" s="1"/>
      <c r="B30" s="1"/>
      <c r="C30" s="117">
        <v>12</v>
      </c>
      <c r="D30" s="220"/>
      <c r="E30" s="310" t="str">
        <f>+IFERROR(INDEX(Hoja1!$E$2:$E$45,MATCH('Análisis Resultados'!C30,Hoja1!$H$2:$H$45,0)),"")</f>
        <v>Presentación oportuna de sus informes de gestión a las autoridades competentes</v>
      </c>
      <c r="F30" s="109" t="str">
        <f>+IFERROR(VLOOKUP(C30,Hoja1!$H$2:$I$45,2,0),"")</f>
        <v>Si</v>
      </c>
      <c r="G30" s="110" t="str">
        <f t="shared" si="0"/>
        <v>Existe requerimiento pero se requiere actividades  dirigidas a su mantenimiento dentro del marco de las lineas de defensa.</v>
      </c>
      <c r="H30" s="18"/>
      <c r="I30" s="120">
        <f t="shared" si="1"/>
        <v>1</v>
      </c>
      <c r="J30" s="202"/>
    </row>
    <row r="31" spans="1:10" ht="45" customHeight="1" x14ac:dyDescent="0.25">
      <c r="A31" s="1"/>
      <c r="B31" s="1"/>
      <c r="C31" s="117">
        <v>13</v>
      </c>
      <c r="D31" s="214" t="s">
        <v>61</v>
      </c>
      <c r="E31" s="311" t="str">
        <f>+IFERROR(INDEX(Hoja1!$E$2:$E$45,MATCH('Análisis Resultados'!C31,Hoja1!$H$2:$H$45,0)),"")</f>
        <v>Cada líder del equipo autónomamente toma las acciones para solucionarlos.</v>
      </c>
      <c r="F31" s="105" t="str">
        <f>+IFERROR(VLOOKUP(C31,Hoja1!$H$2:$I$45,2,0),"")</f>
        <v>No</v>
      </c>
      <c r="G31" s="106" t="str">
        <f t="shared" si="0"/>
        <v>No se encuentra el aspecto  por lo tanto la entidad debera generar acciones dirigidas a que se cumpla con el requerimiento.</v>
      </c>
      <c r="H31" s="18"/>
      <c r="I31" s="118">
        <f t="shared" si="1"/>
        <v>0</v>
      </c>
      <c r="J31" s="198">
        <f>+AVERAGE(I31:I40)</f>
        <v>0.8</v>
      </c>
    </row>
    <row r="32" spans="1:10" ht="57" customHeight="1" x14ac:dyDescent="0.25">
      <c r="A32" s="1"/>
      <c r="B32" s="1"/>
      <c r="C32" s="117">
        <v>14</v>
      </c>
      <c r="D32" s="215"/>
      <c r="E32" s="309" t="str">
        <f>+IFERROR(INDEX(Hoja1!$E$2:$E$45,MATCH('Análisis Resultados'!C32,Hoja1!$H$2:$H$45,0)),"")</f>
        <v>Solamente hasta que un organismo de control actúa se definen acciones de mejora.</v>
      </c>
      <c r="F32" s="107" t="str">
        <f>+IFERROR(VLOOKUP(C32,Hoja1!$H$2:$I$45,2,0),"")</f>
        <v>No</v>
      </c>
      <c r="G32" s="108" t="str">
        <f t="shared" si="0"/>
        <v>No se encuentra el aspecto  por lo tanto la entidad debera generar acciones dirigidas a que se cumpla con el requerimiento.</v>
      </c>
      <c r="H32" s="18"/>
      <c r="I32" s="119">
        <f t="shared" si="1"/>
        <v>0</v>
      </c>
      <c r="J32" s="199"/>
    </row>
    <row r="33" spans="1:10" ht="54" customHeight="1" x14ac:dyDescent="0.25">
      <c r="A33" s="1"/>
      <c r="B33" s="1"/>
      <c r="C33" s="117">
        <v>15</v>
      </c>
      <c r="D33" s="215"/>
      <c r="E33" s="309" t="str">
        <f>+IFERROR(INDEX(Hoja1!$E$2:$E$45,MATCH('Análisis Resultados'!C33,Hoja1!$H$2:$H$45,0)),"")</f>
        <v>La identificación de cambios en su entorno que pueden generar consecuencias negativas en su gestión</v>
      </c>
      <c r="F33" s="107" t="str">
        <f>+IFERROR(VLOOKUP(C33,Hoja1!$H$2:$I$45,2,0),"")</f>
        <v>Si</v>
      </c>
      <c r="G33" s="108" t="str">
        <f t="shared" si="0"/>
        <v>Existe requerimiento pero se requiere actividades  dirigidas a su mantenimiento dentro del marco de las lineas de defensa.</v>
      </c>
      <c r="H33" s="18"/>
      <c r="I33" s="119">
        <f t="shared" si="1"/>
        <v>1</v>
      </c>
      <c r="J33" s="199"/>
    </row>
    <row r="34" spans="1:10" ht="45" x14ac:dyDescent="0.25">
      <c r="A34" s="1"/>
      <c r="B34" s="1"/>
      <c r="C34" s="117">
        <v>16</v>
      </c>
      <c r="D34" s="215"/>
      <c r="E34" s="309" t="str">
        <f>+IFERROR(INDEX(Hoja1!$E$2:$E$45,MATCH('Análisis Resultados'!C34,Hoja1!$H$2:$H$45,0)),"")</f>
        <v>La identificación de aquellos problemas o aspectos que pueden afectar el cumplimiento de los planes de la entidad y en general su gestión institucional (riesgos)</v>
      </c>
      <c r="F34" s="107" t="str">
        <f>+IFERROR(VLOOKUP(C34,Hoja1!$H$2:$I$45,2,0),"")</f>
        <v>Si</v>
      </c>
      <c r="G34" s="108" t="str">
        <f t="shared" si="0"/>
        <v>Existe requerimiento pero se requiere actividades  dirigidas a su mantenimiento dentro del marco de las lineas de defensa.</v>
      </c>
      <c r="H34" s="18"/>
      <c r="I34" s="119">
        <f t="shared" si="1"/>
        <v>1</v>
      </c>
      <c r="J34" s="199"/>
    </row>
    <row r="35" spans="1:10" ht="67.5" customHeight="1" x14ac:dyDescent="0.25">
      <c r="A35" s="1"/>
      <c r="B35" s="1"/>
      <c r="C35" s="117">
        <v>17</v>
      </c>
      <c r="D35" s="215"/>
      <c r="E35" s="309" t="str">
        <f>+IFERROR(INDEX(Hoja1!$E$2:$E$45,MATCH('Análisis Resultados'!C35,Hoja1!$H$2:$H$45,0)),"")</f>
        <v>La identificación  de los riesgos relacionados con posibles actos de corrupción en el ejercicio de sus funciones</v>
      </c>
      <c r="F35" s="107" t="str">
        <f>+IFERROR(VLOOKUP(C35,Hoja1!$H$2:$I$45,2,0),"")</f>
        <v>Si</v>
      </c>
      <c r="G35" s="108" t="str">
        <f t="shared" si="0"/>
        <v>Existe requerimiento pero se requiere actividades  dirigidas a su mantenimiento dentro del marco de las lineas de defensa.</v>
      </c>
      <c r="H35" s="18"/>
      <c r="I35" s="119">
        <f t="shared" si="1"/>
        <v>1</v>
      </c>
      <c r="J35" s="199"/>
    </row>
    <row r="36" spans="1:10" ht="45" x14ac:dyDescent="0.25">
      <c r="A36" s="1"/>
      <c r="B36" s="1"/>
      <c r="C36" s="117">
        <v>18</v>
      </c>
      <c r="D36" s="215"/>
      <c r="E36" s="309" t="str">
        <f>+IFERROR(INDEX(Hoja1!$E$2:$E$45,MATCH('Análisis Resultados'!C36,Hoja1!$H$2:$H$45,0)),"")</f>
        <v>Si su capacidad e infraestructura lo permite, identificación de riesgos asociados a las tecnologías de la información y las comunicaciones</v>
      </c>
      <c r="F36" s="107" t="str">
        <f>+IFERROR(VLOOKUP(C36,Hoja1!$H$2:$I$45,2,0),"")</f>
        <v>Si</v>
      </c>
      <c r="G36" s="108" t="str">
        <f t="shared" si="0"/>
        <v>Existe requerimiento pero se requiere actividades  dirigidas a su mantenimiento dentro del marco de las lineas de defensa.</v>
      </c>
      <c r="H36" s="18"/>
      <c r="I36" s="119">
        <f t="shared" si="1"/>
        <v>1</v>
      </c>
      <c r="J36" s="199"/>
    </row>
    <row r="37" spans="1:10" ht="57" customHeight="1" x14ac:dyDescent="0.25">
      <c r="A37" s="1"/>
      <c r="B37" s="1"/>
      <c r="C37" s="117">
        <v>19</v>
      </c>
      <c r="D37" s="215"/>
      <c r="E37" s="309" t="str">
        <f>+IFERROR(INDEX(Hoja1!$E$2:$E$45,MATCH('Análisis Resultados'!C37,Hoja1!$H$2:$H$45,0)),"")</f>
        <v>Hacen seguimiento a los problemas (riesgos)  que pueden afectar el cumplimiento de sus procesos, programas o proyectos a cargo</v>
      </c>
      <c r="F37" s="107" t="str">
        <f>+IFERROR(VLOOKUP(C37,Hoja1!$H$2:$I$45,2,0),"")</f>
        <v>Si</v>
      </c>
      <c r="G37" s="108" t="str">
        <f t="shared" si="0"/>
        <v>Existe requerimiento pero se requiere actividades  dirigidas a su mantenimiento dentro del marco de las lineas de defensa.</v>
      </c>
      <c r="H37" s="18"/>
      <c r="I37" s="119">
        <f t="shared" si="1"/>
        <v>1</v>
      </c>
      <c r="J37" s="199"/>
    </row>
    <row r="38" spans="1:10" ht="45" x14ac:dyDescent="0.25">
      <c r="A38" s="1"/>
      <c r="B38" s="1"/>
      <c r="C38" s="117">
        <v>20</v>
      </c>
      <c r="D38" s="215"/>
      <c r="E38" s="309" t="str">
        <f>+IFERROR(INDEX(Hoja1!$E$2:$E$45,MATCH('Análisis Resultados'!C38,Hoja1!$H$2:$H$45,0)),"")</f>
        <v>Informan de manera periódica a quien corresponda sobre el desempeño de las actividades de gestión de riesgos</v>
      </c>
      <c r="F38" s="107" t="str">
        <f>+IFERROR(VLOOKUP(C38,Hoja1!$H$2:$I$45,2,0),"")</f>
        <v>Si</v>
      </c>
      <c r="G38" s="108" t="str">
        <f t="shared" si="0"/>
        <v>Existe requerimiento pero se requiere actividades  dirigidas a su mantenimiento dentro del marco de las lineas de defensa.</v>
      </c>
      <c r="H38" s="18"/>
      <c r="I38" s="119">
        <f t="shared" si="1"/>
        <v>1</v>
      </c>
      <c r="J38" s="199"/>
    </row>
    <row r="39" spans="1:10" ht="45" x14ac:dyDescent="0.25">
      <c r="A39" s="1"/>
      <c r="B39" s="1"/>
      <c r="C39" s="117">
        <v>21</v>
      </c>
      <c r="D39" s="215"/>
      <c r="E39" s="309" t="str">
        <f>+IFERROR(INDEX(Hoja1!$E$2:$E$45,MATCH('Análisis Resultados'!C39,Hoja1!$H$2:$H$45,0)),"")</f>
        <v>Identifican deficiencias en las maneras de  controlar los riesgos o problemas en sus procesos, programas o proyectos, y propone los ajustes necesarios</v>
      </c>
      <c r="F39" s="107" t="str">
        <f>+IFERROR(VLOOKUP(C39,Hoja1!$H$2:$I$45,2,0),"")</f>
        <v>Si</v>
      </c>
      <c r="G39" s="108" t="str">
        <f t="shared" si="0"/>
        <v>Existe requerimiento pero se requiere actividades  dirigidas a su mantenimiento dentro del marco de las lineas de defensa.</v>
      </c>
      <c r="H39" s="18"/>
      <c r="I39" s="119">
        <f t="shared" si="1"/>
        <v>1</v>
      </c>
      <c r="J39" s="199"/>
    </row>
    <row r="40" spans="1:10" ht="45.75" thickBot="1" x14ac:dyDescent="0.3">
      <c r="A40" s="1"/>
      <c r="B40" s="1"/>
      <c r="C40" s="117">
        <v>22</v>
      </c>
      <c r="D40" s="215"/>
      <c r="E40" s="312" t="str">
        <f>+IFERROR(INDEX(Hoja1!$E$2:$E$45,MATCH('Análisis Resultados'!C40,Hoja1!$H$2:$H$45,0)),"")</f>
        <v>Se definen espacios de reunión para conocerlos y proponer acciones para su solución</v>
      </c>
      <c r="F40" s="111" t="str">
        <f>+IFERROR(VLOOKUP(C40,Hoja1!$H$2:$I$45,2,0),"")</f>
        <v>Si</v>
      </c>
      <c r="G40" s="112" t="str">
        <f t="shared" si="0"/>
        <v>Existe requerimiento pero se requiere actividades  dirigidas a su mantenimiento dentro del marco de las lineas de defensa.</v>
      </c>
      <c r="H40" s="18"/>
      <c r="I40" s="121">
        <f t="shared" si="1"/>
        <v>1</v>
      </c>
      <c r="J40" s="199"/>
    </row>
    <row r="41" spans="1:10" ht="87.75" customHeight="1" x14ac:dyDescent="0.25">
      <c r="A41" s="1"/>
      <c r="B41" s="1"/>
      <c r="C41" s="117">
        <v>23</v>
      </c>
      <c r="D41" s="210" t="s">
        <v>79</v>
      </c>
      <c r="E41" s="311" t="str">
        <f>+IFERROR(INDEX(Hoja1!$E$2:$E$45,MATCH('Análisis Resultados'!C41,Hoja1!$H$2:$H$45,0)),"")</f>
        <v>Mecanismos de verificación de si se están o no mitigando los riesgos, o en su defecto, elaboración de planes de contingencia para subsanar sus consecuencias</v>
      </c>
      <c r="F41" s="105" t="str">
        <f>+IFERROR(VLOOKUP(C41,Hoja1!$H$2:$I$45,2,0),"")</f>
        <v>En proceso</v>
      </c>
      <c r="G41" s="106" t="str">
        <f t="shared" si="0"/>
        <v>Se encuentra en proceso, pero requiere continuar con acciones dirigidas a contar con dicho aspecto de control.</v>
      </c>
      <c r="H41" s="18"/>
      <c r="I41" s="118">
        <f t="shared" si="1"/>
        <v>0.5</v>
      </c>
      <c r="J41" s="198">
        <f>+AVERAGE(I41:I45)</f>
        <v>0.8</v>
      </c>
    </row>
    <row r="42" spans="1:10" ht="42.75" x14ac:dyDescent="0.25">
      <c r="A42" s="1"/>
      <c r="B42" s="1"/>
      <c r="C42" s="117">
        <v>24</v>
      </c>
      <c r="D42" s="211"/>
      <c r="E42" s="309" t="str">
        <f>+IFERROR(INDEX(Hoja1!$E$2:$E$45,MATCH('Análisis Resultados'!C42,Hoja1!$H$2:$H$45,0)),"")</f>
        <v>Planes, acciones o estrategias que permitan subsanar las consecuencias de la materialización de los riesgos, cuando se presentan</v>
      </c>
      <c r="F42" s="107" t="str">
        <f>+IFERROR(VLOOKUP(C42,Hoja1!$H$2:$I$45,2,0),"")</f>
        <v>En proceso</v>
      </c>
      <c r="G42" s="108" t="str">
        <f t="shared" si="0"/>
        <v>Se encuentra en proceso, pero requiere continuar con acciones dirigidas a contar con dicho aspecto de control.</v>
      </c>
      <c r="H42" s="18"/>
      <c r="I42" s="119">
        <f t="shared" si="1"/>
        <v>0.5</v>
      </c>
      <c r="J42" s="199"/>
    </row>
    <row r="43" spans="1:10" ht="85.5" customHeight="1" x14ac:dyDescent="0.25">
      <c r="A43" s="1"/>
      <c r="B43" s="1"/>
      <c r="C43" s="117">
        <v>25</v>
      </c>
      <c r="D43" s="211"/>
      <c r="E43" s="309" t="str">
        <f>+IFERROR(INDEX(Hoja1!$E$2:$E$45,MATCH('Análisis Resultados'!C43,Hoja1!$H$2:$H$45,0)),"")</f>
        <v>La definición de acciones o actividades para para dar tratamiento a los problemas identificados (mitigación de riesgos), incluyendo aquellos asociados a posibles actos de corrupción</v>
      </c>
      <c r="F43" s="107" t="str">
        <f>+IFERROR(VLOOKUP(C43,Hoja1!$H$2:$I$45,2,0),"")</f>
        <v>Si</v>
      </c>
      <c r="G43" s="108" t="str">
        <f t="shared" si="0"/>
        <v>Existe requerimiento pero se requiere actividades  dirigidas a su mantenimiento dentro del marco de las lineas de defensa.</v>
      </c>
      <c r="H43" s="18"/>
      <c r="I43" s="119">
        <f t="shared" si="1"/>
        <v>1</v>
      </c>
      <c r="J43" s="199"/>
    </row>
    <row r="44" spans="1:10" ht="57" customHeight="1" x14ac:dyDescent="0.25">
      <c r="A44" s="1"/>
      <c r="B44" s="1"/>
      <c r="C44" s="117">
        <v>26</v>
      </c>
      <c r="D44" s="211"/>
      <c r="E44" s="309" t="str">
        <f>+IFERROR(INDEX(Hoja1!$E$2:$E$45,MATCH('Análisis Resultados'!C44,Hoja1!$H$2:$H$45,0)),"")</f>
        <v>Un documento que consolide  los riesgos  y el tratamiento que se les da, incluyendo aquellos que conllevan posibles actos de corrupción y si la capacidad e infraestructura lo permite, los asociados con las tecnologías de la información y las comunicaciones</v>
      </c>
      <c r="F44" s="107" t="str">
        <f>+IFERROR(VLOOKUP(C44,Hoja1!$H$2:$I$45,2,0),"")</f>
        <v>Si</v>
      </c>
      <c r="G44" s="108" t="str">
        <f t="shared" si="0"/>
        <v>Existe requerimiento pero se requiere actividades  dirigidas a su mantenimiento dentro del marco de las lineas de defensa.</v>
      </c>
      <c r="H44" s="18"/>
      <c r="I44" s="119">
        <f t="shared" si="1"/>
        <v>1</v>
      </c>
      <c r="J44" s="199"/>
    </row>
    <row r="45" spans="1:10" ht="57" customHeight="1" thickBot="1" x14ac:dyDescent="0.3">
      <c r="A45" s="1"/>
      <c r="B45" s="1"/>
      <c r="C45" s="117">
        <v>27</v>
      </c>
      <c r="D45" s="212"/>
      <c r="E45" s="310" t="str">
        <f>+IFERROR(INDEX(Hoja1!$E$2:$E$45,MATCH('Análisis Resultados'!C45,Hoja1!$H$2:$H$45,0)),"")</f>
        <v>Un plan anticorrupción y de servicio al ciudadano con los temas que le aplican, publicado en algún medio para conocimiento de la ciudadanía</v>
      </c>
      <c r="F45" s="109" t="str">
        <f>+IFERROR(VLOOKUP(C45,Hoja1!$H$2:$I$45,2,0),"")</f>
        <v>Si</v>
      </c>
      <c r="G45" s="110" t="str">
        <f t="shared" si="0"/>
        <v>Existe requerimiento pero se requiere actividades  dirigidas a su mantenimiento dentro del marco de las lineas de defensa.</v>
      </c>
      <c r="H45" s="18"/>
      <c r="I45" s="120">
        <f t="shared" si="1"/>
        <v>1</v>
      </c>
      <c r="J45" s="213"/>
    </row>
    <row r="46" spans="1:10" ht="63.75" customHeight="1" x14ac:dyDescent="0.25">
      <c r="A46" s="1"/>
      <c r="B46" s="1"/>
      <c r="C46" s="117">
        <v>28</v>
      </c>
      <c r="D46" s="209" t="s">
        <v>87</v>
      </c>
      <c r="E46" s="313" t="str">
        <f>+IFERROR(INDEX(Hoja1!$E$2:$E$45,MATCH('Análisis Resultados'!C46,Hoja1!$H$2:$H$45,0)),"")</f>
        <v>Responsables de la información institucional</v>
      </c>
      <c r="F46" s="113" t="str">
        <f>+IFERROR(VLOOKUP(C46,Hoja1!$H$2:$I$45,2,0),"")</f>
        <v>Si</v>
      </c>
      <c r="G46" s="114" t="str">
        <f t="shared" si="0"/>
        <v>Existe requerimiento pero se requiere actividades  dirigidas a su mantenimiento dentro del marco de las lineas de defensa.</v>
      </c>
      <c r="H46" s="18"/>
      <c r="I46" s="122">
        <f t="shared" si="1"/>
        <v>1</v>
      </c>
      <c r="J46" s="199">
        <f>+AVERAGE(I46:I52)</f>
        <v>1</v>
      </c>
    </row>
    <row r="47" spans="1:10" ht="92.25" customHeight="1" x14ac:dyDescent="0.25">
      <c r="A47" s="1"/>
      <c r="B47" s="1"/>
      <c r="C47" s="117">
        <v>29</v>
      </c>
      <c r="D47" s="209"/>
      <c r="E47" s="309" t="str">
        <f>+IFERROR(INDEX(Hoja1!$E$2:$E$45,MATCH('Análisis Resultados'!C47,Hoja1!$H$2:$H$45,0)),"")</f>
        <v>Canales de comunicación con los ciudadanos</v>
      </c>
      <c r="F47" s="107" t="str">
        <f>+IFERROR(VLOOKUP(C47,Hoja1!$H$2:$I$45,2,0),"")</f>
        <v>Si</v>
      </c>
      <c r="G47" s="115" t="str">
        <f t="shared" si="0"/>
        <v>Existe requerimiento pero se requiere actividades  dirigidas a su mantenimiento dentro del marco de las lineas de defensa.</v>
      </c>
      <c r="H47" s="18"/>
      <c r="I47" s="123">
        <f t="shared" si="1"/>
        <v>1</v>
      </c>
      <c r="J47" s="199"/>
    </row>
    <row r="48" spans="1:10" ht="66.75" customHeight="1" x14ac:dyDescent="0.25">
      <c r="A48" s="1"/>
      <c r="B48" s="1"/>
      <c r="C48" s="117">
        <v>30</v>
      </c>
      <c r="D48" s="209"/>
      <c r="E48" s="309" t="str">
        <f>+IFERROR(INDEX(Hoja1!$E$2:$E$45,MATCH('Análisis Resultados'!C48,Hoja1!$H$2:$H$45,0)),"")</f>
        <v>Canales de comunicación o mecanismos de reporte de información a otros organismos gubernamentales o de control</v>
      </c>
      <c r="F48" s="107" t="str">
        <f>+IFERROR(VLOOKUP(C48,Hoja1!$H$2:$I$45,2,0),"")</f>
        <v>Si</v>
      </c>
      <c r="G48" s="115" t="str">
        <f t="shared" si="0"/>
        <v>Existe requerimiento pero se requiere actividades  dirigidas a su mantenimiento dentro del marco de las lineas de defensa.</v>
      </c>
      <c r="H48" s="18"/>
      <c r="I48" s="123">
        <f t="shared" si="1"/>
        <v>1</v>
      </c>
      <c r="J48" s="199"/>
    </row>
    <row r="49" spans="1:10" ht="60" customHeight="1" x14ac:dyDescent="0.25">
      <c r="A49" s="1"/>
      <c r="B49" s="1"/>
      <c r="C49" s="117">
        <v>31</v>
      </c>
      <c r="D49" s="209"/>
      <c r="E49" s="309" t="str">
        <f>+IFERROR(INDEX(Hoja1!$E$2:$E$45,MATCH('Análisis Resultados'!C49,Hoja1!$H$2:$H$45,0)),"")</f>
        <v xml:space="preserve">Lineamientos para dar tratamiento a la información de carácter reservado </v>
      </c>
      <c r="F49" s="107" t="str">
        <f>+IFERROR(VLOOKUP(C49,Hoja1!$H$2:$I$45,2,0),"")</f>
        <v>Si</v>
      </c>
      <c r="G49" s="115" t="str">
        <f t="shared" si="0"/>
        <v>Existe requerimiento pero se requiere actividades  dirigidas a su mantenimiento dentro del marco de las lineas de defensa.</v>
      </c>
      <c r="H49" s="18"/>
      <c r="I49" s="123">
        <f t="shared" si="1"/>
        <v>1</v>
      </c>
      <c r="J49" s="199"/>
    </row>
    <row r="50" spans="1:10" ht="57" customHeight="1" x14ac:dyDescent="0.25">
      <c r="A50" s="1"/>
      <c r="B50" s="1"/>
      <c r="C50" s="117">
        <v>32</v>
      </c>
      <c r="D50" s="209"/>
      <c r="E50" s="309" t="str">
        <f>+IFERROR(INDEX(Hoja1!$E$2:$E$45,MATCH('Análisis Resultados'!C50,Hoja1!$H$2:$H$45,0)),"")</f>
        <v>Identificación de información que produce en el marco de su gestión (Para los ciudadanos, organismos de control, organismos gubernamentales, entre otros)</v>
      </c>
      <c r="F50" s="107" t="str">
        <f>+IFERROR(VLOOKUP(C50,Hoja1!$H$2:$I$45,2,0),"")</f>
        <v>Si</v>
      </c>
      <c r="G50" s="115" t="str">
        <f t="shared" si="0"/>
        <v>Existe requerimiento pero se requiere actividades  dirigidas a su mantenimiento dentro del marco de las lineas de defensa.</v>
      </c>
      <c r="H50" s="18"/>
      <c r="I50" s="123">
        <f t="shared" si="1"/>
        <v>1</v>
      </c>
      <c r="J50" s="199"/>
    </row>
    <row r="51" spans="1:10" ht="57" customHeight="1" x14ac:dyDescent="0.25">
      <c r="A51" s="1"/>
      <c r="B51" s="1"/>
      <c r="C51" s="117">
        <v>33</v>
      </c>
      <c r="D51" s="209"/>
      <c r="E51" s="309" t="str">
        <f>+IFERROR(INDEX(Hoja1!$E$2:$E$45,MATCH('Análisis Resultados'!C51,Hoja1!$H$2:$H$45,0)),"")</f>
        <v>Identificación de información necesaria para la operación de la entidad (normograma, presupuesto, talento humano, infraestructura física y tecnológica)</v>
      </c>
      <c r="F51" s="107" t="str">
        <f>+IFERROR(VLOOKUP(C51,Hoja1!$H$2:$I$45,2,0),"")</f>
        <v>Si</v>
      </c>
      <c r="G51" s="115" t="str">
        <f t="shared" si="0"/>
        <v>Existe requerimiento pero se requiere actividades  dirigidas a su mantenimiento dentro del marco de las lineas de defensa.</v>
      </c>
      <c r="H51" s="18"/>
      <c r="I51" s="123">
        <f t="shared" si="1"/>
        <v>1</v>
      </c>
      <c r="J51" s="199"/>
    </row>
    <row r="52" spans="1:10" ht="45.75" thickBot="1" x14ac:dyDescent="0.3">
      <c r="A52" s="1"/>
      <c r="B52" s="1"/>
      <c r="C52" s="117">
        <v>34</v>
      </c>
      <c r="D52" s="209"/>
      <c r="E52" s="312" t="str">
        <f>+IFERROR(INDEX(Hoja1!$E$2:$E$45,MATCH('Análisis Resultados'!C52,Hoja1!$H$2:$H$45,0)),"")</f>
        <v>Si su capacidad e infraestructura lo permite, tecnologías de la información y las comunicaciones que soporten estos procesos</v>
      </c>
      <c r="F52" s="111" t="str">
        <f>+IFERROR(VLOOKUP(C52,Hoja1!$H$2:$I$45,2,0),"")</f>
        <v>Si</v>
      </c>
      <c r="G52" s="116" t="str">
        <f t="shared" si="0"/>
        <v>Existe requerimiento pero se requiere actividades  dirigidas a su mantenimiento dentro del marco de las lineas de defensa.</v>
      </c>
      <c r="H52" s="18"/>
      <c r="I52" s="124">
        <f t="shared" si="1"/>
        <v>1</v>
      </c>
      <c r="J52" s="199"/>
    </row>
    <row r="53" spans="1:10" ht="41.25" customHeight="1" x14ac:dyDescent="0.25">
      <c r="A53" s="1"/>
      <c r="B53" s="1"/>
      <c r="C53" s="117">
        <v>35</v>
      </c>
      <c r="D53" s="203" t="s">
        <v>97</v>
      </c>
      <c r="E53" s="311" t="str">
        <f>+IFERROR(INDEX(Hoja1!$E$2:$E$45,MATCH('Análisis Resultados'!C53,Hoja1!$H$2:$H$45,0)),"")</f>
        <v>Controlar los puntos críticos en los procesos.</v>
      </c>
      <c r="F53" s="105" t="str">
        <f>+IFERROR(VLOOKUP(C53,Hoja1!$H$2:$I$45,2,0),"")</f>
        <v>En proceso</v>
      </c>
      <c r="G53" s="106" t="str">
        <f t="shared" si="0"/>
        <v>Se encuentra en proceso, pero requiere continuar con acciones dirigidas a contar con dicho aspecto de control.</v>
      </c>
      <c r="H53" s="18"/>
      <c r="I53" s="118">
        <f t="shared" si="1"/>
        <v>0.5</v>
      </c>
      <c r="J53" s="206">
        <f>+AVERAGE(I53:I62)</f>
        <v>0.9</v>
      </c>
    </row>
    <row r="54" spans="1:10" ht="58.5" customHeight="1" x14ac:dyDescent="0.25">
      <c r="A54" s="1"/>
      <c r="B54" s="1"/>
      <c r="C54" s="117">
        <v>36</v>
      </c>
      <c r="D54" s="204"/>
      <c r="E54" s="309" t="str">
        <f>+IFERROR(INDEX(Hoja1!$E$2:$E$45,MATCH('Análisis Resultados'!C54,Hoja1!$H$2:$H$45,0)),"")</f>
        <v>No se gestionan los problemas que afectan el cumplimiento de las funciones y objetivos institucionales(riesgos).</v>
      </c>
      <c r="F54" s="107" t="str">
        <f>+IFERROR(VLOOKUP(C54,Hoja1!$H$2:$I$45,2,0),"")</f>
        <v>En proceso</v>
      </c>
      <c r="G54" s="108" t="str">
        <f t="shared" si="0"/>
        <v>Se encuentra en proceso, pero requiere continuar con acciones dirigidas a contar con dicho aspecto de control.</v>
      </c>
      <c r="H54" s="18"/>
      <c r="I54" s="119">
        <f t="shared" si="1"/>
        <v>0.5</v>
      </c>
      <c r="J54" s="207"/>
    </row>
    <row r="55" spans="1:10" s="1" customFormat="1" ht="84.75" customHeight="1" x14ac:dyDescent="0.25">
      <c r="C55" s="117">
        <v>37</v>
      </c>
      <c r="D55" s="204"/>
      <c r="E55" s="309" t="str">
        <f>+IFERROR(INDEX(Hoja1!$E$2:$E$45,MATCH('Análisis Resultados'!C55,Hoja1!$H$2:$H$45,0)),"")</f>
        <v>Mecanismos de evaluación de la gestión (cronogramas, indicadores, listas de chequeo u otros)</v>
      </c>
      <c r="F55" s="107" t="str">
        <f>+IFERROR(VLOOKUP(C55,Hoja1!$H$2:$I$45,2,0),"")</f>
        <v>Si</v>
      </c>
      <c r="G55" s="108" t="str">
        <f t="shared" si="0"/>
        <v>Existe requerimiento pero se requiere actividades  dirigidas a su mantenimiento dentro del marco de las lineas de defensa.</v>
      </c>
      <c r="H55" s="6"/>
      <c r="I55" s="119">
        <f t="shared" si="1"/>
        <v>1</v>
      </c>
      <c r="J55" s="207"/>
    </row>
    <row r="56" spans="1:10" s="1" customFormat="1" ht="78.75" customHeight="1" x14ac:dyDescent="0.25">
      <c r="C56" s="117">
        <v>38</v>
      </c>
      <c r="D56" s="204"/>
      <c r="E56" s="309" t="str">
        <f>+IFERROR(INDEX(Hoja1!$E$2:$E$45,MATCH('Análisis Resultados'!C56,Hoja1!$H$2:$H$45,0)),"")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56" s="107" t="str">
        <f>+IFERROR(VLOOKUP(C56,Hoja1!$H$2:$I$45,2,0),"")</f>
        <v>Si</v>
      </c>
      <c r="G56" s="108" t="str">
        <f t="shared" si="0"/>
        <v>Existe requerimiento pero se requiere actividades  dirigidas a su mantenimiento dentro del marco de las lineas de defensa.</v>
      </c>
      <c r="H56" s="6"/>
      <c r="I56" s="119">
        <f t="shared" si="1"/>
        <v>1</v>
      </c>
      <c r="J56" s="207"/>
    </row>
    <row r="57" spans="1:10" s="1" customFormat="1" ht="54.75" customHeight="1" x14ac:dyDescent="0.25">
      <c r="C57" s="117">
        <v>39</v>
      </c>
      <c r="D57" s="204"/>
      <c r="E57" s="309" t="str">
        <f>+IFERROR(INDEX(Hoja1!$E$2:$E$45,MATCH('Análisis Resultados'!C57,Hoja1!$H$2:$H$45,0)),"")</f>
        <v>Medidas correctivas en caso de detectarse deficiencias en los ejercicios de evaluación, seguimiento o auditoría</v>
      </c>
      <c r="F57" s="107" t="str">
        <f>+IFERROR(VLOOKUP(C57,Hoja1!$H$2:$I$45,2,0),"")</f>
        <v>Si</v>
      </c>
      <c r="G57" s="108" t="str">
        <f t="shared" si="0"/>
        <v>Existe requerimiento pero se requiere actividades  dirigidas a su mantenimiento dentro del marco de las lineas de defensa.</v>
      </c>
      <c r="H57" s="6"/>
      <c r="I57" s="119">
        <f t="shared" si="1"/>
        <v>1</v>
      </c>
      <c r="J57" s="207"/>
    </row>
    <row r="58" spans="1:10" s="1" customFormat="1" ht="68.25" customHeight="1" x14ac:dyDescent="0.25">
      <c r="C58" s="117">
        <v>40</v>
      </c>
      <c r="D58" s="204"/>
      <c r="E58" s="309" t="str">
        <f>+IFERROR(INDEX(Hoja1!$E$2:$E$45,MATCH('Análisis Resultados'!C58,Hoja1!$H$2:$H$45,0)),"")</f>
        <v>Seguimiento a los planes de mejoramiento suscritos con instancias de control internas o externas</v>
      </c>
      <c r="F58" s="107" t="str">
        <f>+IFERROR(VLOOKUP(C58,Hoja1!$H$2:$I$45,2,0),"")</f>
        <v>Si</v>
      </c>
      <c r="G58" s="108" t="str">
        <f t="shared" si="0"/>
        <v>Existe requerimiento pero se requiere actividades  dirigidas a su mantenimiento dentro del marco de las lineas de defensa.</v>
      </c>
      <c r="H58" s="6"/>
      <c r="I58" s="119">
        <f t="shared" si="1"/>
        <v>1</v>
      </c>
      <c r="J58" s="207"/>
    </row>
    <row r="59" spans="1:10" s="1" customFormat="1" ht="45" customHeight="1" x14ac:dyDescent="0.25">
      <c r="C59" s="117">
        <v>41</v>
      </c>
      <c r="D59" s="204"/>
      <c r="E59" s="309" t="str">
        <f>+IFERROR(INDEX(Hoja1!$E$2:$E$45,MATCH('Análisis Resultados'!C59,Hoja1!$H$2:$H$45,0)),"")</f>
        <v>La entidad participa en el  Comité Municipal de Auditoría?</v>
      </c>
      <c r="F59" s="107" t="str">
        <f>+IFERROR(VLOOKUP(C59,Hoja1!$H$2:$I$45,2,0),"")</f>
        <v>Si</v>
      </c>
      <c r="G59" s="108" t="str">
        <f t="shared" si="0"/>
        <v>Existe requerimiento pero se requiere actividades  dirigidas a su mantenimiento dentro del marco de las lineas de defensa.</v>
      </c>
      <c r="H59" s="6"/>
      <c r="I59" s="119">
        <f t="shared" si="1"/>
        <v>1</v>
      </c>
      <c r="J59" s="207"/>
    </row>
    <row r="60" spans="1:10" s="1" customFormat="1" ht="51.75" customHeight="1" x14ac:dyDescent="0.25">
      <c r="C60" s="117">
        <v>42</v>
      </c>
      <c r="D60" s="204"/>
      <c r="E60" s="309" t="str">
        <f>+IFERROR(INDEX(Hoja1!$E$2:$E$45,MATCH('Análisis Resultados'!C60,Hoja1!$H$2:$H$45,0)),"")</f>
        <v>Evitar que los problemas (riesgos) obstaculicen el cumplimiento de los objetivos.</v>
      </c>
      <c r="F60" s="107" t="str">
        <f>+IFERROR(VLOOKUP(C60,Hoja1!$H$2:$I$45,2,0),"")</f>
        <v>Si</v>
      </c>
      <c r="G60" s="108" t="str">
        <f t="shared" si="0"/>
        <v>Existe requerimiento pero se requiere actividades  dirigidas a su mantenimiento dentro del marco de las lineas de defensa.</v>
      </c>
      <c r="H60" s="6"/>
      <c r="I60" s="119">
        <f t="shared" si="1"/>
        <v>1</v>
      </c>
      <c r="J60" s="207"/>
    </row>
    <row r="61" spans="1:10" s="1" customFormat="1" ht="84" customHeight="1" x14ac:dyDescent="0.25">
      <c r="C61" s="117">
        <v>43</v>
      </c>
      <c r="D61" s="204"/>
      <c r="E61" s="309" t="str">
        <f>+IFERROR(INDEX(Hoja1!$E$2:$E$45,MATCH('Análisis Resultados'!C61,Hoja1!$H$2:$H$45,0)),"")</f>
        <v>Diseñar acciones adecuadas para controlar los problemas que afectan el cumplimiento de las metas y objetivos institucionales (riesgos).</v>
      </c>
      <c r="F61" s="107" t="str">
        <f>+IFERROR(VLOOKUP(C61,Hoja1!$H$2:$I$45,2,0),"")</f>
        <v>Si</v>
      </c>
      <c r="G61" s="108" t="str">
        <f t="shared" si="0"/>
        <v>Existe requerimiento pero se requiere actividades  dirigidas a su mantenimiento dentro del marco de las lineas de defensa.</v>
      </c>
      <c r="H61" s="6"/>
      <c r="I61" s="119">
        <f t="shared" si="1"/>
        <v>1</v>
      </c>
      <c r="J61" s="207"/>
    </row>
    <row r="62" spans="1:10" s="1" customFormat="1" ht="60" customHeight="1" thickBot="1" x14ac:dyDescent="0.3">
      <c r="C62" s="117">
        <v>44</v>
      </c>
      <c r="D62" s="205"/>
      <c r="E62" s="310" t="str">
        <f>+IFERROR(INDEX(Hoja1!$E$2:$E$45,MATCH('Análisis Resultados'!C62,Hoja1!$H$2:$H$45,0)),"")</f>
        <v>Ejecutar las acciones de acuerdo a como se diseñaron previamente.</v>
      </c>
      <c r="F62" s="109" t="str">
        <f>+IFERROR(VLOOKUP(C62,Hoja1!$H$2:$I$45,2,0),"")</f>
        <v>Si</v>
      </c>
      <c r="G62" s="110" t="str">
        <f t="shared" si="0"/>
        <v>Existe requerimiento pero se requiere actividades  dirigidas a su mantenimiento dentro del marco de las lineas de defensa.</v>
      </c>
      <c r="H62" s="6"/>
      <c r="I62" s="120">
        <f t="shared" si="1"/>
        <v>1</v>
      </c>
      <c r="J62" s="208"/>
    </row>
    <row r="63" spans="1:10" s="1" customFormat="1" x14ac:dyDescent="0.25">
      <c r="H63" s="6"/>
    </row>
    <row r="64" spans="1:10" s="1" customFormat="1" x14ac:dyDescent="0.25">
      <c r="H64" s="6"/>
    </row>
    <row r="65" spans="1:2" s="1" customFormat="1" x14ac:dyDescent="0.25"/>
    <row r="66" spans="1:2" s="1" customFormat="1" x14ac:dyDescent="0.25"/>
    <row r="67" spans="1:2" s="1" customFormat="1" x14ac:dyDescent="0.25"/>
    <row r="68" spans="1:2" s="1" customFormat="1" x14ac:dyDescent="0.25"/>
    <row r="69" spans="1:2" s="1" customFormat="1" x14ac:dyDescent="0.25"/>
    <row r="70" spans="1:2" s="1" customFormat="1" x14ac:dyDescent="0.25"/>
    <row r="71" spans="1:2" x14ac:dyDescent="0.25">
      <c r="A71" s="1"/>
      <c r="B71" s="1"/>
    </row>
    <row r="72" spans="1:2" x14ac:dyDescent="0.25">
      <c r="A72" s="1"/>
      <c r="B72" s="1"/>
    </row>
    <row r="73" spans="1:2" x14ac:dyDescent="0.25">
      <c r="A73" s="1"/>
      <c r="B73" s="1"/>
    </row>
    <row r="74" spans="1:2" x14ac:dyDescent="0.25">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C7:K7"/>
    <mergeCell ref="C9:D9"/>
    <mergeCell ref="E9:F9"/>
    <mergeCell ref="C10:D10"/>
    <mergeCell ref="E10:F10"/>
    <mergeCell ref="C11:D11"/>
    <mergeCell ref="E11:F11"/>
    <mergeCell ref="J17:J18"/>
    <mergeCell ref="D19:D30"/>
    <mergeCell ref="C17:C18"/>
    <mergeCell ref="D17:E17"/>
    <mergeCell ref="F17:F18"/>
    <mergeCell ref="G17:G18"/>
    <mergeCell ref="I17:I18"/>
    <mergeCell ref="J31:J40"/>
    <mergeCell ref="C12:D12"/>
    <mergeCell ref="E12:F12"/>
    <mergeCell ref="J19:J30"/>
    <mergeCell ref="D53:D62"/>
    <mergeCell ref="J53:J62"/>
    <mergeCell ref="D46:D52"/>
    <mergeCell ref="J46:J52"/>
    <mergeCell ref="D41:D45"/>
    <mergeCell ref="J41:J45"/>
    <mergeCell ref="D31:D40"/>
  </mergeCells>
  <conditionalFormatting sqref="I19:I62">
    <cfRule type="cellIs" dxfId="19" priority="4" operator="between">
      <formula>0.75</formula>
      <formula>1</formula>
    </cfRule>
    <cfRule type="cellIs" dxfId="18" priority="5" operator="between">
      <formula>0.5</formula>
      <formula>0.74</formula>
    </cfRule>
    <cfRule type="cellIs" dxfId="17" priority="6" operator="between">
      <formula>0</formula>
      <formula>0.49</formula>
    </cfRule>
  </conditionalFormatting>
  <conditionalFormatting sqref="J53 J19:J31 J46 J41">
    <cfRule type="cellIs" priority="1" operator="between">
      <formula>0.75</formula>
      <formula>1</formula>
    </cfRule>
    <cfRule type="cellIs" dxfId="16" priority="2" operator="between">
      <formula>0.5</formula>
      <formula>0.75</formula>
    </cfRule>
    <cfRule type="cellIs" dxfId="15" priority="3" operator="between">
      <formula>0</formula>
      <formula>0.49</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7" operator="containsText" id="{B5EC0094-D2B5-49BB-B6F9-E988382E1263}">
            <xm:f>NOT(ISERROR(SEARCH($E$12,G19)))</xm:f>
            <xm:f>$E$12</xm:f>
            <x14:dxf>
              <fill>
                <patternFill>
                  <bgColor rgb="FFFF000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9"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showGridLines="0" topLeftCell="A25" zoomScale="64" zoomScaleNormal="64" workbookViewId="0">
      <selection activeCell="F22" sqref="F22:M22"/>
    </sheetView>
  </sheetViews>
  <sheetFormatPr baseColWidth="10" defaultColWidth="11.42578125" defaultRowHeight="15" x14ac:dyDescent="0.25"/>
  <cols>
    <col min="1" max="1" width="4.42578125" customWidth="1"/>
    <col min="3" max="3" width="35.5703125" customWidth="1"/>
    <col min="4" max="4" width="13" customWidth="1"/>
    <col min="5" max="5" width="43.28515625" customWidth="1"/>
    <col min="7" max="7" width="33.85546875" customWidth="1"/>
    <col min="9" max="9" width="92.28515625" customWidth="1"/>
    <col min="13" max="13" width="29" customWidth="1"/>
  </cols>
  <sheetData>
    <row r="1" spans="1:17" s="1" customFormat="1" x14ac:dyDescent="0.25"/>
    <row r="2" spans="1:17" ht="15.75" thickBot="1" x14ac:dyDescent="0.3">
      <c r="A2" s="1"/>
      <c r="B2" s="1"/>
      <c r="C2" s="1"/>
      <c r="D2" s="1"/>
      <c r="E2" s="1"/>
      <c r="F2" s="1"/>
      <c r="G2" s="1"/>
      <c r="H2" s="1"/>
      <c r="I2" s="1"/>
      <c r="J2" s="1"/>
      <c r="K2" s="1"/>
      <c r="L2" s="1"/>
      <c r="M2" s="1"/>
      <c r="N2" s="1"/>
      <c r="O2" s="1"/>
      <c r="P2" s="1"/>
      <c r="Q2" s="1"/>
    </row>
    <row r="3" spans="1:17" ht="15.75" thickTop="1" x14ac:dyDescent="0.25">
      <c r="A3" s="1"/>
      <c r="B3" s="2"/>
      <c r="C3" s="3"/>
      <c r="D3" s="3"/>
      <c r="E3" s="3"/>
      <c r="F3" s="3"/>
      <c r="G3" s="3"/>
      <c r="H3" s="3"/>
      <c r="I3" s="3"/>
      <c r="J3" s="3"/>
      <c r="K3" s="3"/>
      <c r="L3" s="3"/>
      <c r="M3" s="3"/>
      <c r="N3" s="3"/>
      <c r="O3" s="3"/>
      <c r="P3" s="4"/>
      <c r="Q3" s="1"/>
    </row>
    <row r="4" spans="1:17" ht="16.5" x14ac:dyDescent="0.3">
      <c r="A4" s="1"/>
      <c r="B4" s="5"/>
      <c r="C4" s="6"/>
      <c r="D4" s="6"/>
      <c r="E4" s="232" t="s">
        <v>124</v>
      </c>
      <c r="F4" s="234" t="s">
        <v>236</v>
      </c>
      <c r="G4" s="234"/>
      <c r="H4" s="234"/>
      <c r="I4" s="234"/>
      <c r="J4" s="234"/>
      <c r="K4" s="234"/>
      <c r="L4" s="234"/>
      <c r="M4" s="234"/>
      <c r="N4" s="7"/>
      <c r="O4" s="7"/>
      <c r="P4" s="8"/>
      <c r="Q4" s="1"/>
    </row>
    <row r="5" spans="1:17" ht="45.75" customHeight="1" x14ac:dyDescent="0.3">
      <c r="A5" s="1"/>
      <c r="B5" s="5"/>
      <c r="C5" s="6"/>
      <c r="D5" s="6"/>
      <c r="E5" s="233"/>
      <c r="F5" s="234"/>
      <c r="G5" s="234"/>
      <c r="H5" s="234"/>
      <c r="I5" s="234"/>
      <c r="J5" s="234"/>
      <c r="K5" s="234"/>
      <c r="L5" s="234"/>
      <c r="M5" s="234"/>
      <c r="N5" s="7"/>
      <c r="O5" s="7"/>
      <c r="P5" s="8"/>
      <c r="Q5" s="1"/>
    </row>
    <row r="6" spans="1:17" ht="66.75" customHeight="1" x14ac:dyDescent="0.3">
      <c r="A6" s="1"/>
      <c r="B6" s="5"/>
      <c r="C6" s="6"/>
      <c r="D6" s="6"/>
      <c r="E6" s="85" t="s">
        <v>125</v>
      </c>
      <c r="F6" s="235" t="s">
        <v>237</v>
      </c>
      <c r="G6" s="236"/>
      <c r="H6" s="236"/>
      <c r="I6" s="236"/>
      <c r="J6" s="236"/>
      <c r="K6" s="236"/>
      <c r="L6" s="236"/>
      <c r="M6" s="237"/>
      <c r="N6" s="9"/>
      <c r="O6" s="9"/>
      <c r="P6" s="8"/>
      <c r="Q6" s="1"/>
    </row>
    <row r="7" spans="1:17" ht="17.25" thickBot="1" x14ac:dyDescent="0.35">
      <c r="A7" s="1"/>
      <c r="B7" s="5"/>
      <c r="C7" s="6"/>
      <c r="D7" s="6"/>
      <c r="E7" s="10"/>
      <c r="F7" s="9"/>
      <c r="G7" s="9"/>
      <c r="H7" s="9"/>
      <c r="I7" s="9"/>
      <c r="J7" s="9"/>
      <c r="K7" s="9"/>
      <c r="L7" s="9"/>
      <c r="M7" s="6"/>
      <c r="N7" s="6"/>
      <c r="O7" s="6"/>
      <c r="P7" s="8"/>
      <c r="Q7" s="1"/>
    </row>
    <row r="8" spans="1:17" ht="97.5" customHeight="1" thickBot="1" x14ac:dyDescent="0.3">
      <c r="A8" s="1"/>
      <c r="B8" s="5"/>
      <c r="C8" s="6"/>
      <c r="D8" s="6"/>
      <c r="E8" s="6"/>
      <c r="F8" s="6"/>
      <c r="G8" s="6"/>
      <c r="H8" s="6"/>
      <c r="I8" s="238" t="s">
        <v>126</v>
      </c>
      <c r="J8" s="239"/>
      <c r="K8" s="240"/>
      <c r="L8" s="6"/>
      <c r="M8" s="125">
        <f>+AVERAGE(G26,G28,G30,G32,G34)</f>
        <v>0.9</v>
      </c>
      <c r="N8" s="11"/>
      <c r="O8" s="11"/>
      <c r="P8" s="8"/>
      <c r="Q8" s="1"/>
    </row>
    <row r="9" spans="1:17" ht="15.75" x14ac:dyDescent="0.25">
      <c r="A9" s="1"/>
      <c r="B9" s="5"/>
      <c r="C9" s="6"/>
      <c r="D9" s="6"/>
      <c r="E9" s="6"/>
      <c r="F9" s="6"/>
      <c r="G9" s="6"/>
      <c r="H9" s="6"/>
      <c r="I9" s="6"/>
      <c r="J9" s="6"/>
      <c r="K9" s="6"/>
      <c r="L9" s="6"/>
      <c r="M9" s="12"/>
      <c r="N9" s="12"/>
      <c r="O9" s="12"/>
      <c r="P9" s="8"/>
      <c r="Q9" s="1"/>
    </row>
    <row r="10" spans="1:17" x14ac:dyDescent="0.25">
      <c r="A10" s="1"/>
      <c r="B10" s="5"/>
      <c r="C10" s="6"/>
      <c r="D10" s="6"/>
      <c r="E10" s="6"/>
      <c r="F10" s="6"/>
      <c r="G10" s="6"/>
      <c r="H10" s="6"/>
      <c r="I10" s="6"/>
      <c r="J10" s="6"/>
      <c r="K10" s="6"/>
      <c r="L10" s="6"/>
      <c r="M10" s="6"/>
      <c r="N10" s="6"/>
      <c r="O10" s="6"/>
      <c r="P10" s="8"/>
      <c r="Q10" s="1"/>
    </row>
    <row r="11" spans="1:17" x14ac:dyDescent="0.25">
      <c r="A11" s="1"/>
      <c r="B11" s="5"/>
      <c r="C11" s="6"/>
      <c r="D11" s="6"/>
      <c r="E11" s="6"/>
      <c r="F11" s="6"/>
      <c r="G11" s="6"/>
      <c r="H11" s="6"/>
      <c r="I11" s="6"/>
      <c r="J11" s="6"/>
      <c r="K11" s="6"/>
      <c r="L11" s="6"/>
      <c r="M11" s="6"/>
      <c r="N11" s="6"/>
      <c r="O11" s="6"/>
      <c r="P11" s="8"/>
      <c r="Q11" s="1"/>
    </row>
    <row r="12" spans="1:17" x14ac:dyDescent="0.25">
      <c r="A12" s="1"/>
      <c r="B12" s="5"/>
      <c r="C12" s="6"/>
      <c r="D12" s="6"/>
      <c r="E12" s="6"/>
      <c r="F12" s="6"/>
      <c r="G12" s="6"/>
      <c r="H12" s="6"/>
      <c r="I12" s="6"/>
      <c r="J12" s="6"/>
      <c r="K12" s="6"/>
      <c r="L12" s="6"/>
      <c r="M12" s="6"/>
      <c r="N12" s="6"/>
      <c r="O12" s="6"/>
      <c r="P12" s="8"/>
      <c r="Q12" s="1"/>
    </row>
    <row r="13" spans="1:17" x14ac:dyDescent="0.25">
      <c r="A13" s="1"/>
      <c r="B13" s="5"/>
      <c r="C13" s="6"/>
      <c r="D13" s="6"/>
      <c r="E13" s="6"/>
      <c r="F13" s="6"/>
      <c r="G13" s="6"/>
      <c r="H13" s="6"/>
      <c r="I13" s="6"/>
      <c r="J13" s="6"/>
      <c r="K13" s="6"/>
      <c r="L13" s="6"/>
      <c r="M13" s="6"/>
      <c r="N13" s="6"/>
      <c r="O13" s="6"/>
      <c r="P13" s="8"/>
      <c r="Q13" s="1"/>
    </row>
    <row r="14" spans="1:17" x14ac:dyDescent="0.25">
      <c r="A14" s="1"/>
      <c r="B14" s="5"/>
      <c r="C14" s="6"/>
      <c r="D14" s="6"/>
      <c r="E14" s="6"/>
      <c r="F14" s="6"/>
      <c r="G14" s="6"/>
      <c r="H14" s="6"/>
      <c r="I14" s="6"/>
      <c r="J14" s="6"/>
      <c r="K14" s="6"/>
      <c r="L14" s="6"/>
      <c r="M14" s="6"/>
      <c r="N14" s="6"/>
      <c r="O14" s="6"/>
      <c r="P14" s="8"/>
      <c r="Q14" s="1"/>
    </row>
    <row r="15" spans="1:17" x14ac:dyDescent="0.25">
      <c r="A15" s="1"/>
      <c r="B15" s="5"/>
      <c r="C15" s="6"/>
      <c r="D15" s="6"/>
      <c r="E15" s="6"/>
      <c r="F15" s="6"/>
      <c r="G15" s="6"/>
      <c r="H15" s="6"/>
      <c r="I15" s="6"/>
      <c r="J15" s="6"/>
      <c r="K15" s="6"/>
      <c r="L15" s="6"/>
      <c r="M15" s="6"/>
      <c r="N15" s="6"/>
      <c r="O15" s="6"/>
      <c r="P15" s="8"/>
      <c r="Q15" s="1"/>
    </row>
    <row r="16" spans="1:17" x14ac:dyDescent="0.25">
      <c r="A16" s="1"/>
      <c r="B16" s="5"/>
      <c r="C16" s="6"/>
      <c r="D16" s="6"/>
      <c r="E16" s="6"/>
      <c r="F16" s="6"/>
      <c r="G16" s="6"/>
      <c r="H16" s="6"/>
      <c r="I16" s="6"/>
      <c r="J16" s="6"/>
      <c r="K16" s="6"/>
      <c r="L16" s="6"/>
      <c r="M16" s="6"/>
      <c r="N16" s="6"/>
      <c r="O16" s="6"/>
      <c r="P16" s="8"/>
      <c r="Q16" s="1"/>
    </row>
    <row r="17" spans="1:17" x14ac:dyDescent="0.25">
      <c r="A17" s="1"/>
      <c r="B17" s="5"/>
      <c r="C17" s="6"/>
      <c r="D17" s="6"/>
      <c r="E17" s="6"/>
      <c r="F17" s="6"/>
      <c r="G17" s="6"/>
      <c r="H17" s="6"/>
      <c r="I17" s="6"/>
      <c r="J17" s="6"/>
      <c r="K17" s="6"/>
      <c r="L17" s="6"/>
      <c r="M17" s="6"/>
      <c r="N17" s="6"/>
      <c r="O17" s="6"/>
      <c r="P17" s="8"/>
      <c r="Q17" s="1"/>
    </row>
    <row r="18" spans="1:17" ht="23.25" x14ac:dyDescent="0.25">
      <c r="A18" s="1"/>
      <c r="B18" s="5"/>
      <c r="C18" s="241" t="s">
        <v>127</v>
      </c>
      <c r="D18" s="242"/>
      <c r="E18" s="242"/>
      <c r="F18" s="242"/>
      <c r="G18" s="242"/>
      <c r="H18" s="242"/>
      <c r="I18" s="242"/>
      <c r="J18" s="242"/>
      <c r="K18" s="242"/>
      <c r="L18" s="242"/>
      <c r="M18" s="243"/>
      <c r="N18" s="13"/>
      <c r="O18" s="13"/>
      <c r="P18" s="8"/>
      <c r="Q18" s="1"/>
    </row>
    <row r="19" spans="1:17" ht="15.75" x14ac:dyDescent="0.25">
      <c r="A19" s="1"/>
      <c r="B19" s="5"/>
      <c r="C19" s="14"/>
      <c r="D19" s="14"/>
      <c r="E19" s="14"/>
      <c r="F19" s="14"/>
      <c r="G19" s="14"/>
      <c r="H19" s="14"/>
      <c r="I19" s="14"/>
      <c r="J19" s="14"/>
      <c r="K19" s="14"/>
      <c r="L19" s="14"/>
      <c r="M19" s="14"/>
      <c r="N19" s="15"/>
      <c r="O19" s="15"/>
      <c r="P19" s="8"/>
      <c r="Q19" s="1"/>
    </row>
    <row r="20" spans="1:17" ht="150" customHeight="1" x14ac:dyDescent="0.25">
      <c r="A20" s="1"/>
      <c r="B20" s="5"/>
      <c r="C20" s="250" t="s">
        <v>128</v>
      </c>
      <c r="D20" s="250"/>
      <c r="E20" s="128" t="s">
        <v>39</v>
      </c>
      <c r="F20" s="254" t="s">
        <v>235</v>
      </c>
      <c r="G20" s="255"/>
      <c r="H20" s="255"/>
      <c r="I20" s="255"/>
      <c r="J20" s="255"/>
      <c r="K20" s="255"/>
      <c r="L20" s="255"/>
      <c r="M20" s="256"/>
      <c r="N20" s="15"/>
      <c r="O20" s="15"/>
      <c r="P20" s="8"/>
      <c r="Q20" s="1"/>
    </row>
    <row r="21" spans="1:17" ht="118.5" customHeight="1" x14ac:dyDescent="0.25">
      <c r="A21" s="1"/>
      <c r="B21" s="5"/>
      <c r="C21" s="250" t="s">
        <v>129</v>
      </c>
      <c r="D21" s="250"/>
      <c r="E21" s="128" t="s">
        <v>39</v>
      </c>
      <c r="F21" s="254" t="s">
        <v>244</v>
      </c>
      <c r="G21" s="255"/>
      <c r="H21" s="255"/>
      <c r="I21" s="255"/>
      <c r="J21" s="255"/>
      <c r="K21" s="255"/>
      <c r="L21" s="255"/>
      <c r="M21" s="256"/>
      <c r="N21" s="15"/>
      <c r="O21" s="15"/>
      <c r="P21" s="8"/>
      <c r="Q21" s="1"/>
    </row>
    <row r="22" spans="1:17" ht="151.5" customHeight="1" x14ac:dyDescent="0.25">
      <c r="A22" s="1"/>
      <c r="B22" s="5"/>
      <c r="C22" s="250" t="s">
        <v>130</v>
      </c>
      <c r="D22" s="250"/>
      <c r="E22" s="128" t="s">
        <v>36</v>
      </c>
      <c r="F22" s="251" t="s">
        <v>238</v>
      </c>
      <c r="G22" s="252"/>
      <c r="H22" s="252"/>
      <c r="I22" s="252"/>
      <c r="J22" s="252"/>
      <c r="K22" s="252"/>
      <c r="L22" s="252"/>
      <c r="M22" s="253"/>
      <c r="N22" s="15"/>
      <c r="O22" s="15"/>
      <c r="P22" s="8"/>
      <c r="Q22" s="1"/>
    </row>
    <row r="23" spans="1:17" x14ac:dyDescent="0.25">
      <c r="A23" s="1"/>
      <c r="B23" s="5"/>
      <c r="C23" s="6"/>
      <c r="D23" s="6"/>
      <c r="E23" s="6"/>
      <c r="F23" s="6"/>
      <c r="G23" s="16"/>
      <c r="H23" s="6"/>
      <c r="I23" s="6"/>
      <c r="J23" s="6"/>
      <c r="K23" s="6"/>
      <c r="L23" s="6"/>
      <c r="M23" s="6"/>
      <c r="N23" s="6"/>
      <c r="O23" s="6"/>
      <c r="P23" s="8"/>
      <c r="Q23" s="1"/>
    </row>
    <row r="24" spans="1:17" ht="78.75" x14ac:dyDescent="0.25">
      <c r="A24" s="1"/>
      <c r="B24" s="5"/>
      <c r="C24" s="88" t="s">
        <v>131</v>
      </c>
      <c r="D24" s="89"/>
      <c r="E24" s="88" t="s">
        <v>132</v>
      </c>
      <c r="F24" s="89"/>
      <c r="G24" s="88" t="s">
        <v>133</v>
      </c>
      <c r="H24" s="89"/>
      <c r="I24" s="244" t="s">
        <v>134</v>
      </c>
      <c r="J24" s="244"/>
      <c r="K24" s="244"/>
      <c r="L24" s="244"/>
      <c r="M24" s="244"/>
      <c r="N24" s="33"/>
      <c r="O24" s="33"/>
      <c r="P24" s="8"/>
      <c r="Q24" s="17"/>
    </row>
    <row r="25" spans="1:17" ht="13.5" customHeight="1" thickBot="1" x14ac:dyDescent="0.3">
      <c r="A25" s="1"/>
      <c r="B25" s="5"/>
      <c r="C25" s="32"/>
      <c r="D25" s="18"/>
      <c r="E25" s="18"/>
      <c r="F25" s="18"/>
      <c r="G25" s="18"/>
      <c r="H25" s="18"/>
      <c r="I25" s="245"/>
      <c r="J25" s="245"/>
      <c r="K25" s="245"/>
      <c r="L25" s="245"/>
      <c r="M25" s="245"/>
      <c r="N25" s="34"/>
      <c r="O25" s="34"/>
      <c r="P25" s="8"/>
      <c r="Q25" s="1"/>
    </row>
    <row r="26" spans="1:17" ht="128.25" customHeight="1" thickBot="1" x14ac:dyDescent="0.3">
      <c r="A26" s="1"/>
      <c r="B26" s="5"/>
      <c r="C26" s="79" t="s">
        <v>32</v>
      </c>
      <c r="D26" s="19"/>
      <c r="E26" s="126" t="str">
        <f>+IF(Hoja1!K2&gt;=0.5,"Si","No")</f>
        <v>Si</v>
      </c>
      <c r="F26" s="20"/>
      <c r="G26" s="127">
        <f>+Hoja1!K2</f>
        <v>1</v>
      </c>
      <c r="H26" s="20"/>
      <c r="I26" s="316" t="s">
        <v>239</v>
      </c>
      <c r="J26" s="314"/>
      <c r="K26" s="314"/>
      <c r="L26" s="314"/>
      <c r="M26" s="315"/>
      <c r="N26" s="35"/>
      <c r="O26" s="36"/>
      <c r="P26" s="21"/>
      <c r="Q26" s="22"/>
    </row>
    <row r="27" spans="1:17" ht="27" thickBot="1" x14ac:dyDescent="0.45">
      <c r="A27" s="1"/>
      <c r="B27" s="5"/>
      <c r="C27" s="80"/>
      <c r="D27" s="23"/>
      <c r="E27" s="87"/>
      <c r="F27" s="18"/>
      <c r="G27" s="24"/>
      <c r="H27" s="18"/>
      <c r="I27" s="246"/>
      <c r="J27" s="246"/>
      <c r="K27" s="246"/>
      <c r="L27" s="246"/>
      <c r="M27" s="246"/>
      <c r="N27" s="37"/>
      <c r="O27" s="37"/>
      <c r="P27" s="8"/>
      <c r="Q27" s="1"/>
    </row>
    <row r="28" spans="1:17" ht="111.75" customHeight="1" thickBot="1" x14ac:dyDescent="0.3">
      <c r="A28" s="1"/>
      <c r="B28" s="5"/>
      <c r="C28" s="81" t="s">
        <v>135</v>
      </c>
      <c r="D28" s="19"/>
      <c r="E28" s="126" t="str">
        <f>+IF(Hoja1!K14&gt;=0.5,"Si","No")</f>
        <v>Si</v>
      </c>
      <c r="F28" s="18"/>
      <c r="G28" s="127">
        <f>+Hoja1!K14</f>
        <v>0.8</v>
      </c>
      <c r="H28" s="18"/>
      <c r="I28" s="316" t="s">
        <v>240</v>
      </c>
      <c r="J28" s="314"/>
      <c r="K28" s="314"/>
      <c r="L28" s="314"/>
      <c r="M28" s="315"/>
      <c r="N28" s="35"/>
      <c r="O28" s="35"/>
      <c r="P28" s="8"/>
      <c r="Q28" s="1"/>
    </row>
    <row r="29" spans="1:17" ht="27" thickBot="1" x14ac:dyDescent="0.45">
      <c r="A29" s="1"/>
      <c r="B29" s="5"/>
      <c r="C29" s="80"/>
      <c r="D29" s="23"/>
      <c r="E29" s="87"/>
      <c r="F29" s="18"/>
      <c r="G29" s="24"/>
      <c r="H29" s="18"/>
      <c r="I29" s="246"/>
      <c r="J29" s="246"/>
      <c r="K29" s="246"/>
      <c r="L29" s="246"/>
      <c r="M29" s="246"/>
      <c r="N29" s="37"/>
      <c r="O29" s="37"/>
      <c r="P29" s="8"/>
      <c r="Q29" s="1"/>
    </row>
    <row r="30" spans="1:17" ht="123" customHeight="1" thickBot="1" x14ac:dyDescent="0.3">
      <c r="A30" s="1"/>
      <c r="B30" s="5"/>
      <c r="C30" s="82" t="s">
        <v>136</v>
      </c>
      <c r="D30" s="19"/>
      <c r="E30" s="126" t="str">
        <f>+IF(Hoja1!K24&gt;=0.5,"Si","No")</f>
        <v>Si</v>
      </c>
      <c r="F30" s="18"/>
      <c r="G30" s="127">
        <f>+Hoja1!K24</f>
        <v>0.8</v>
      </c>
      <c r="H30" s="18"/>
      <c r="I30" s="316" t="s">
        <v>241</v>
      </c>
      <c r="J30" s="314"/>
      <c r="K30" s="314"/>
      <c r="L30" s="314"/>
      <c r="M30" s="315"/>
      <c r="N30" s="35"/>
      <c r="O30" s="35"/>
      <c r="P30" s="8"/>
      <c r="Q30" s="1"/>
    </row>
    <row r="31" spans="1:17" ht="27" thickBot="1" x14ac:dyDescent="0.45">
      <c r="A31" s="1"/>
      <c r="B31" s="5"/>
      <c r="C31" s="80"/>
      <c r="D31" s="23"/>
      <c r="E31" s="87"/>
      <c r="F31" s="18"/>
      <c r="G31" s="24"/>
      <c r="H31" s="18"/>
      <c r="I31" s="246"/>
      <c r="J31" s="246"/>
      <c r="K31" s="246"/>
      <c r="L31" s="246"/>
      <c r="M31" s="246"/>
      <c r="N31" s="37"/>
      <c r="O31" s="37"/>
      <c r="P31" s="8"/>
      <c r="Q31" s="1"/>
    </row>
    <row r="32" spans="1:17" ht="131.25" customHeight="1" thickBot="1" x14ac:dyDescent="0.3">
      <c r="A32" s="1"/>
      <c r="B32" s="5"/>
      <c r="C32" s="83" t="s">
        <v>87</v>
      </c>
      <c r="D32" s="19"/>
      <c r="E32" s="126" t="str">
        <f>+IF(Hoja1!K29&gt;=0.5,"Si","No")</f>
        <v>Si</v>
      </c>
      <c r="F32" s="18"/>
      <c r="G32" s="127">
        <f>+Hoja1!K29</f>
        <v>1</v>
      </c>
      <c r="H32" s="18"/>
      <c r="I32" s="316" t="s">
        <v>242</v>
      </c>
      <c r="J32" s="314"/>
      <c r="K32" s="314"/>
      <c r="L32" s="314"/>
      <c r="M32" s="315"/>
      <c r="N32" s="35"/>
      <c r="O32" s="35"/>
      <c r="P32" s="8"/>
      <c r="Q32" s="1"/>
    </row>
    <row r="33" spans="1:17" ht="27" thickBot="1" x14ac:dyDescent="0.45">
      <c r="A33" s="1"/>
      <c r="B33" s="5"/>
      <c r="C33" s="80"/>
      <c r="D33" s="23"/>
      <c r="E33" s="87"/>
      <c r="F33" s="18"/>
      <c r="G33" s="24"/>
      <c r="H33" s="18"/>
      <c r="I33" s="246"/>
      <c r="J33" s="246"/>
      <c r="K33" s="246"/>
      <c r="L33" s="246"/>
      <c r="M33" s="246"/>
      <c r="N33" s="37"/>
      <c r="O33" s="37"/>
      <c r="P33" s="8"/>
      <c r="Q33" s="1"/>
    </row>
    <row r="34" spans="1:17" ht="114" customHeight="1" thickBot="1" x14ac:dyDescent="0.3">
      <c r="A34" s="1"/>
      <c r="B34" s="5"/>
      <c r="C34" s="84" t="s">
        <v>137</v>
      </c>
      <c r="D34" s="19"/>
      <c r="E34" s="86" t="str">
        <f>+IF(Hoja1!K36&gt;=0.5,"Si","No")</f>
        <v>Si</v>
      </c>
      <c r="F34" s="18"/>
      <c r="G34" s="127">
        <f>+Hoja1!K36</f>
        <v>0.9</v>
      </c>
      <c r="H34" s="18"/>
      <c r="I34" s="316" t="s">
        <v>243</v>
      </c>
      <c r="J34" s="314"/>
      <c r="K34" s="314"/>
      <c r="L34" s="314"/>
      <c r="M34" s="315"/>
      <c r="N34" s="35"/>
      <c r="O34" s="35"/>
      <c r="P34" s="8"/>
      <c r="Q34" s="1"/>
    </row>
    <row r="35" spans="1:17" ht="15.75" x14ac:dyDescent="0.25">
      <c r="A35" s="1"/>
      <c r="B35" s="5"/>
      <c r="C35" s="25"/>
      <c r="D35" s="25"/>
      <c r="E35" s="15"/>
      <c r="F35" s="6"/>
      <c r="G35" s="6"/>
      <c r="H35" s="6"/>
      <c r="I35" s="6"/>
      <c r="J35" s="6"/>
      <c r="K35" s="6"/>
      <c r="L35" s="6"/>
      <c r="M35" s="26"/>
      <c r="N35" s="26"/>
      <c r="O35" s="26"/>
      <c r="P35" s="8"/>
      <c r="Q35" s="1"/>
    </row>
    <row r="36" spans="1:17" ht="15.75" x14ac:dyDescent="0.25">
      <c r="A36" s="1"/>
      <c r="B36" s="5"/>
      <c r="C36" s="27"/>
      <c r="D36" s="25"/>
      <c r="E36" s="15"/>
      <c r="F36" s="6"/>
      <c r="G36" s="6"/>
      <c r="H36" s="6"/>
      <c r="I36" s="6"/>
      <c r="J36" s="6"/>
      <c r="K36" s="6"/>
      <c r="L36" s="6"/>
      <c r="M36" s="26"/>
      <c r="N36" s="26"/>
      <c r="O36" s="26"/>
      <c r="P36" s="8"/>
      <c r="Q36" s="1"/>
    </row>
    <row r="37" spans="1:17" x14ac:dyDescent="0.25">
      <c r="A37" s="1"/>
      <c r="B37" s="5"/>
      <c r="C37" s="28"/>
      <c r="D37" s="6"/>
      <c r="E37" s="6"/>
      <c r="F37" s="6"/>
      <c r="G37" s="6"/>
      <c r="H37" s="6"/>
      <c r="I37" s="6"/>
      <c r="J37" s="6"/>
      <c r="K37" s="6"/>
      <c r="L37" s="6"/>
      <c r="M37" s="6"/>
      <c r="N37" s="6"/>
      <c r="O37" s="6"/>
      <c r="P37" s="8"/>
      <c r="Q37" s="1"/>
    </row>
    <row r="38" spans="1:17" ht="15.75" thickBot="1" x14ac:dyDescent="0.3">
      <c r="A38" s="1"/>
      <c r="B38" s="29"/>
      <c r="C38" s="30"/>
      <c r="D38" s="30"/>
      <c r="E38" s="30"/>
      <c r="F38" s="30"/>
      <c r="G38" s="30"/>
      <c r="H38" s="30"/>
      <c r="I38" s="30"/>
      <c r="J38" s="30"/>
      <c r="K38" s="30"/>
      <c r="L38" s="30"/>
      <c r="M38" s="30"/>
      <c r="N38" s="30"/>
      <c r="O38" s="30"/>
      <c r="P38" s="31"/>
      <c r="Q38" s="1"/>
    </row>
    <row r="39" spans="1:17" ht="15.75" thickTop="1"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I34:M34"/>
    <mergeCell ref="I30:M30"/>
    <mergeCell ref="I32:M32"/>
    <mergeCell ref="I24:M24"/>
    <mergeCell ref="I26:M26"/>
    <mergeCell ref="I28:M28"/>
    <mergeCell ref="I25:M25"/>
    <mergeCell ref="I27:M27"/>
    <mergeCell ref="I29:M29"/>
    <mergeCell ref="I31:M31"/>
    <mergeCell ref="I33:M33"/>
    <mergeCell ref="C21:D21"/>
    <mergeCell ref="C22:D22"/>
    <mergeCell ref="E4:E5"/>
    <mergeCell ref="F4:M5"/>
    <mergeCell ref="F6:M6"/>
    <mergeCell ref="I8:K8"/>
    <mergeCell ref="C18:M18"/>
    <mergeCell ref="C20:D20"/>
    <mergeCell ref="F20:M20"/>
    <mergeCell ref="F21:M21"/>
    <mergeCell ref="F22:M22"/>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6" priority="1" operator="between">
      <formula>0.75</formula>
      <formula>1</formula>
    </cfRule>
    <cfRule type="cellIs" dxfId="5" priority="2" operator="between">
      <formula>0.5</formula>
      <formula>0.75</formula>
    </cfRule>
    <cfRule type="cellIs" dxfId="4" priority="3" operator="between">
      <formula>0</formula>
      <formula>0.49</formula>
    </cfRule>
    <cfRule type="cellIs" priority="27" operator="between">
      <formula>0.76</formula>
      <formula>1</formula>
    </cfRule>
    <cfRule type="cellIs" dxfId="3" priority="28" operator="between">
      <formula>0.51</formula>
      <formula>0.75</formula>
    </cfRule>
    <cfRule type="cellIs" dxfId="2" priority="29" operator="between">
      <formula>0.26</formula>
      <formula>0.5</formula>
    </cfRule>
    <cfRule type="cellIs" dxfId="1" priority="30" operator="between">
      <formula>0</formula>
      <formula>0.25</formula>
    </cfRule>
  </conditionalFormatting>
  <dataValidations count="3">
    <dataValidation type="list" allowBlank="1" showInputMessage="1" showErrorMessage="1" sqref="E21:E22">
      <formula1>"Si, No"</formula1>
    </dataValidation>
    <dataValidation allowBlank="1" showInputMessage="1" showErrorMessage="1" prompt="Celda formulada, información proveniente de la pestaña de deficiencias." sqref="E24"/>
    <dataValidation type="list" allowBlank="1" showInputMessage="1" showErrorMessage="1" sqref="E20">
      <formula1>"Si,En proceso,No"</formula1>
    </dataValidation>
  </dataValidations>
  <pageMargins left="0.7" right="0.7" top="0.75" bottom="0.75" header="0.3" footer="0.3"/>
  <pageSetup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'C:\Users\dell\Desktop\cesar\HISTORICOS\[2020-04-22_Formato_informe_sci_parametrizado_final.xlsx]Analisis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F2" sqref="F2"/>
    </sheetView>
  </sheetViews>
  <sheetFormatPr baseColWidth="10" defaultColWidth="11.42578125" defaultRowHeight="15" x14ac:dyDescent="0.25"/>
  <cols>
    <col min="2" max="2" width="31" bestFit="1" customWidth="1"/>
    <col min="3" max="3" width="17.140625" customWidth="1"/>
    <col min="5" max="5" width="15.140625" customWidth="1"/>
    <col min="10" max="10" width="15.7109375" customWidth="1"/>
    <col min="11" max="11" width="12" bestFit="1" customWidth="1"/>
  </cols>
  <sheetData>
    <row r="1" spans="1:11" ht="84.75" customHeight="1" x14ac:dyDescent="0.25">
      <c r="A1" s="129" t="s">
        <v>25</v>
      </c>
      <c r="B1" s="129" t="s">
        <v>6</v>
      </c>
      <c r="C1" s="130" t="s">
        <v>8</v>
      </c>
      <c r="D1" s="131" t="s">
        <v>26</v>
      </c>
      <c r="E1" s="131" t="s">
        <v>27</v>
      </c>
      <c r="F1" s="131" t="s">
        <v>138</v>
      </c>
      <c r="G1" s="132" t="s">
        <v>139</v>
      </c>
      <c r="H1" s="132" t="s">
        <v>140</v>
      </c>
      <c r="I1" s="132" t="s">
        <v>119</v>
      </c>
      <c r="J1" s="132" t="s">
        <v>141</v>
      </c>
      <c r="K1" s="132" t="s">
        <v>142</v>
      </c>
    </row>
    <row r="2" spans="1:11" x14ac:dyDescent="0.25">
      <c r="A2" s="133" t="s">
        <v>143</v>
      </c>
      <c r="B2" s="133" t="str">
        <f>+VLOOKUP(A2,'Estado SCI'!$A$16:$C$59,3,0)</f>
        <v>AMBIENTE DE CONTROL</v>
      </c>
      <c r="C2" s="133" t="s">
        <v>33</v>
      </c>
      <c r="D2" s="133" t="s">
        <v>34</v>
      </c>
      <c r="E2" s="133" t="s">
        <v>35</v>
      </c>
      <c r="F2" s="133" t="str">
        <f>+VLOOKUP(A2,'Estado SCI'!$A$16:$I$59,9,0)</f>
        <v>Mantenimiento del control</v>
      </c>
      <c r="G2" s="133">
        <f>+VLOOKUP(A2,'Estado SCI'!$A$16:$L$59,12,0)</f>
        <v>20.123000000000001</v>
      </c>
      <c r="H2" s="133">
        <f t="shared" ref="H2:H45" si="0">+_xlfn.RANK.EQ(G2,$G$2:$G$45,1)</f>
        <v>1</v>
      </c>
      <c r="I2" s="133" t="str">
        <f>+IF(VLOOKUP(A2,'Estado SCI'!$A$16:$G$59,7,0)="","",VLOOKUP(A2,'Estado SCI'!$A$16:$G$59,7,0))</f>
        <v>Si</v>
      </c>
      <c r="J2" s="134">
        <f>+IF(I2="Si",1,IF(I2="En proceso",0.5,0))</f>
        <v>1</v>
      </c>
      <c r="K2" s="135">
        <f t="shared" ref="K2:K45" si="1">+AVERAGEIF($B$2:$B$45,B2,$J$2:$J$45)</f>
        <v>1</v>
      </c>
    </row>
    <row r="3" spans="1:11" x14ac:dyDescent="0.25">
      <c r="A3" s="133" t="s">
        <v>144</v>
      </c>
      <c r="B3" s="133" t="s">
        <v>32</v>
      </c>
      <c r="C3" s="133" t="s">
        <v>33</v>
      </c>
      <c r="D3" s="133" t="s">
        <v>37</v>
      </c>
      <c r="E3" s="133" t="s">
        <v>38</v>
      </c>
      <c r="F3" s="133" t="str">
        <f>+VLOOKUP(A3,'Estado SCI'!$A$16:$I$59,9,0)</f>
        <v>Mantenimiento del control</v>
      </c>
      <c r="G3" s="133">
        <f>+VLOOKUP(A3,'Estado SCI'!$A$16:$L$59,12,0)</f>
        <v>20.1234</v>
      </c>
      <c r="H3" s="133">
        <f t="shared" si="0"/>
        <v>2</v>
      </c>
      <c r="I3" s="133" t="str">
        <f>+IF(VLOOKUP(A3,'Estado SCI'!$A$16:$G$59,7,0)="","",VLOOKUP(A3,'Estado SCI'!$A$16:$G$59,7,0))</f>
        <v>Si</v>
      </c>
      <c r="J3" s="134">
        <f t="shared" ref="J3:J45" si="2">+IF(I3="Si",1,IF(I3="En proceso",0.5,0))</f>
        <v>1</v>
      </c>
      <c r="K3" s="135">
        <f t="shared" si="1"/>
        <v>1</v>
      </c>
    </row>
    <row r="4" spans="1:11" x14ac:dyDescent="0.25">
      <c r="A4" s="133" t="s">
        <v>145</v>
      </c>
      <c r="B4" s="133" t="s">
        <v>32</v>
      </c>
      <c r="C4" s="133" t="s">
        <v>33</v>
      </c>
      <c r="D4" s="133" t="s">
        <v>40</v>
      </c>
      <c r="E4" s="133" t="s">
        <v>41</v>
      </c>
      <c r="F4" s="133" t="str">
        <f>+VLOOKUP(A4,'Estado SCI'!$A$16:$I$59,9,0)</f>
        <v>Mantenimiento del control</v>
      </c>
      <c r="G4" s="133">
        <f>+VLOOKUP(A4,'Estado SCI'!$A$16:$L$59,12,0)</f>
        <v>20.123449999999998</v>
      </c>
      <c r="H4" s="133">
        <f t="shared" si="0"/>
        <v>3</v>
      </c>
      <c r="I4" s="133" t="str">
        <f>+IF(VLOOKUP(A4,'Estado SCI'!$A$16:$G$59,7,0)="","",VLOOKUP(A4,'Estado SCI'!$A$16:$G$59,7,0))</f>
        <v>Si</v>
      </c>
      <c r="J4" s="134">
        <f t="shared" si="2"/>
        <v>1</v>
      </c>
      <c r="K4" s="135">
        <f t="shared" si="1"/>
        <v>1</v>
      </c>
    </row>
    <row r="5" spans="1:11" x14ac:dyDescent="0.25">
      <c r="A5" s="133" t="s">
        <v>146</v>
      </c>
      <c r="B5" s="133" t="s">
        <v>32</v>
      </c>
      <c r="C5" s="133" t="s">
        <v>33</v>
      </c>
      <c r="D5" s="133" t="s">
        <v>42</v>
      </c>
      <c r="E5" s="133" t="s">
        <v>43</v>
      </c>
      <c r="F5" s="133" t="str">
        <f>+VLOOKUP(A5,'Estado SCI'!$A$16:$I$59,9,0)</f>
        <v>Mantenimiento del control</v>
      </c>
      <c r="G5" s="133">
        <f>+VLOOKUP(A5,'Estado SCI'!$A$16:$L$59,12,0)</f>
        <v>20.123456000000001</v>
      </c>
      <c r="H5" s="133">
        <f t="shared" si="0"/>
        <v>4</v>
      </c>
      <c r="I5" s="133" t="str">
        <f>+IF(VLOOKUP(A5,'Estado SCI'!$A$16:$G$59,7,0)="","",VLOOKUP(A5,'Estado SCI'!$A$16:$G$59,7,0))</f>
        <v>Si</v>
      </c>
      <c r="J5" s="134">
        <f t="shared" si="2"/>
        <v>1</v>
      </c>
      <c r="K5" s="135">
        <f t="shared" si="1"/>
        <v>1</v>
      </c>
    </row>
    <row r="6" spans="1:11" x14ac:dyDescent="0.25">
      <c r="A6" s="133" t="s">
        <v>147</v>
      </c>
      <c r="B6" s="133" t="s">
        <v>32</v>
      </c>
      <c r="C6" s="133" t="s">
        <v>33</v>
      </c>
      <c r="D6" s="133" t="s">
        <v>44</v>
      </c>
      <c r="E6" s="133" t="s">
        <v>45</v>
      </c>
      <c r="F6" s="133" t="str">
        <f>+VLOOKUP(A6,'Estado SCI'!$A$16:$I$59,9,0)</f>
        <v>Mantenimiento del control</v>
      </c>
      <c r="G6" s="133">
        <f>+VLOOKUP(A6,'Estado SCI'!$A$16:$L$59,12,0)</f>
        <v>20.123456780000001</v>
      </c>
      <c r="H6" s="133">
        <f t="shared" si="0"/>
        <v>5</v>
      </c>
      <c r="I6" s="133" t="str">
        <f>+IF(VLOOKUP(A6,'Estado SCI'!$A$16:$G$59,7,0)="","",VLOOKUP(A6,'Estado SCI'!$A$16:$G$59,7,0))</f>
        <v>Si</v>
      </c>
      <c r="J6" s="134">
        <f t="shared" si="2"/>
        <v>1</v>
      </c>
      <c r="K6" s="135">
        <f t="shared" si="1"/>
        <v>1</v>
      </c>
    </row>
    <row r="7" spans="1:11" x14ac:dyDescent="0.25">
      <c r="A7" s="133" t="s">
        <v>148</v>
      </c>
      <c r="B7" s="133" t="s">
        <v>32</v>
      </c>
      <c r="C7" s="133" t="s">
        <v>33</v>
      </c>
      <c r="D7" s="133" t="s">
        <v>46</v>
      </c>
      <c r="E7" s="133" t="s">
        <v>47</v>
      </c>
      <c r="F7" s="133" t="str">
        <f>+VLOOKUP(A7,'Estado SCI'!$A$16:$I$59,9,0)</f>
        <v>Mantenimiento del control</v>
      </c>
      <c r="G7" s="133">
        <f>+VLOOKUP(A7,'Estado SCI'!$A$16:$L$59,12,0)</f>
        <v>20.123456788999999</v>
      </c>
      <c r="H7" s="133">
        <f t="shared" si="0"/>
        <v>6</v>
      </c>
      <c r="I7" s="133" t="str">
        <f>+IF(VLOOKUP(A7,'Estado SCI'!$A$16:$G$59,7,0)="","",VLOOKUP(A7,'Estado SCI'!$A$16:$G$59,7,0))</f>
        <v>Si</v>
      </c>
      <c r="J7" s="134">
        <f t="shared" si="2"/>
        <v>1</v>
      </c>
      <c r="K7" s="135">
        <f t="shared" si="1"/>
        <v>1</v>
      </c>
    </row>
    <row r="8" spans="1:11" x14ac:dyDescent="0.25">
      <c r="A8" s="133" t="s">
        <v>149</v>
      </c>
      <c r="B8" s="133" t="s">
        <v>32</v>
      </c>
      <c r="C8" s="133" t="s">
        <v>33</v>
      </c>
      <c r="D8" s="133" t="s">
        <v>48</v>
      </c>
      <c r="E8" s="133" t="s">
        <v>49</v>
      </c>
      <c r="F8" s="133" t="str">
        <f>+VLOOKUP(A8,'Estado SCI'!$A$16:$I$59,9,0)</f>
        <v>Mantenimiento del control</v>
      </c>
      <c r="G8" s="133">
        <f>+VLOOKUP(A8,'Estado SCI'!$A$16:$L$59,12,0)</f>
        <v>20.1234567891</v>
      </c>
      <c r="H8" s="133">
        <f t="shared" si="0"/>
        <v>7</v>
      </c>
      <c r="I8" s="133" t="str">
        <f>+IF(VLOOKUP(A8,'Estado SCI'!$A$16:$G$59,7,0)="","",VLOOKUP(A8,'Estado SCI'!$A$16:$G$59,7,0))</f>
        <v>Si</v>
      </c>
      <c r="J8" s="134">
        <f t="shared" si="2"/>
        <v>1</v>
      </c>
      <c r="K8" s="135">
        <f t="shared" si="1"/>
        <v>1</v>
      </c>
    </row>
    <row r="9" spans="1:11" x14ac:dyDescent="0.25">
      <c r="A9" s="133" t="s">
        <v>150</v>
      </c>
      <c r="B9" s="133" t="s">
        <v>32</v>
      </c>
      <c r="C9" s="133" t="s">
        <v>33</v>
      </c>
      <c r="D9" s="133" t="s">
        <v>50</v>
      </c>
      <c r="E9" s="133" t="s">
        <v>51</v>
      </c>
      <c r="F9" s="133" t="str">
        <f>+VLOOKUP(A9,'Estado SCI'!$A$16:$I$59,9,0)</f>
        <v>Mantenimiento del control</v>
      </c>
      <c r="G9" s="133">
        <f>+VLOOKUP(A9,'Estado SCI'!$A$16:$L$59,12,0)</f>
        <v>20.123456789119999</v>
      </c>
      <c r="H9" s="133">
        <f t="shared" si="0"/>
        <v>8</v>
      </c>
      <c r="I9" s="133" t="str">
        <f>+IF(VLOOKUP(A9,'Estado SCI'!$A$16:$G$59,7,0)="","",VLOOKUP(A9,'Estado SCI'!$A$16:$G$59,7,0))</f>
        <v>Si</v>
      </c>
      <c r="J9" s="134">
        <f t="shared" si="2"/>
        <v>1</v>
      </c>
      <c r="K9" s="135">
        <f t="shared" si="1"/>
        <v>1</v>
      </c>
    </row>
    <row r="10" spans="1:11" x14ac:dyDescent="0.25">
      <c r="A10" s="133" t="s">
        <v>151</v>
      </c>
      <c r="B10" s="133" t="s">
        <v>32</v>
      </c>
      <c r="C10" s="133" t="s">
        <v>33</v>
      </c>
      <c r="D10" s="133" t="s">
        <v>52</v>
      </c>
      <c r="E10" s="133" t="s">
        <v>53</v>
      </c>
      <c r="F10" s="133" t="str">
        <f>+VLOOKUP(A10,'Estado SCI'!$A$16:$I$59,9,0)</f>
        <v>Mantenimiento del control</v>
      </c>
      <c r="G10" s="133">
        <f>+VLOOKUP(A10,'Estado SCI'!$A$16:$L$59,12,0)</f>
        <v>20.123456789123001</v>
      </c>
      <c r="H10" s="133">
        <f t="shared" si="0"/>
        <v>9</v>
      </c>
      <c r="I10" s="133" t="str">
        <f>+IF(VLOOKUP(A10,'Estado SCI'!$A$16:$G$59,7,0)="","",VLOOKUP(A10,'Estado SCI'!$A$16:$G$59,7,0))</f>
        <v>Si</v>
      </c>
      <c r="J10" s="134">
        <f t="shared" si="2"/>
        <v>1</v>
      </c>
      <c r="K10" s="135">
        <f t="shared" si="1"/>
        <v>1</v>
      </c>
    </row>
    <row r="11" spans="1:11" x14ac:dyDescent="0.25">
      <c r="A11" s="133" t="s">
        <v>152</v>
      </c>
      <c r="B11" s="133" t="s">
        <v>32</v>
      </c>
      <c r="C11" s="133" t="s">
        <v>33</v>
      </c>
      <c r="D11" s="133" t="s">
        <v>54</v>
      </c>
      <c r="E11" s="133" t="s">
        <v>55</v>
      </c>
      <c r="F11" s="133" t="str">
        <f>+VLOOKUP(A11,'Estado SCI'!$A$16:$I$59,9,0)</f>
        <v>Mantenimiento del control</v>
      </c>
      <c r="G11" s="133">
        <f>+VLOOKUP(A11,'Estado SCI'!$A$16:$L$59,12,0)</f>
        <v>20.123456789123399</v>
      </c>
      <c r="H11" s="133">
        <f t="shared" si="0"/>
        <v>10</v>
      </c>
      <c r="I11" s="133" t="str">
        <f>+IF(VLOOKUP(A11,'Estado SCI'!$A$16:$G$59,7,0)="","",VLOOKUP(A11,'Estado SCI'!$A$16:$G$59,7,0))</f>
        <v>Si</v>
      </c>
      <c r="J11" s="134">
        <f t="shared" si="2"/>
        <v>1</v>
      </c>
      <c r="K11" s="135">
        <f t="shared" si="1"/>
        <v>1</v>
      </c>
    </row>
    <row r="12" spans="1:11" x14ac:dyDescent="0.25">
      <c r="A12" s="133" t="s">
        <v>153</v>
      </c>
      <c r="B12" s="133" t="s">
        <v>32</v>
      </c>
      <c r="C12" s="133" t="s">
        <v>33</v>
      </c>
      <c r="D12" s="133" t="s">
        <v>56</v>
      </c>
      <c r="E12" s="133" t="s">
        <v>57</v>
      </c>
      <c r="F12" s="133" t="str">
        <f>+VLOOKUP(A12,'Estado SCI'!$A$16:$I$59,9,0)</f>
        <v>Mantenimiento del control</v>
      </c>
      <c r="G12" s="133">
        <f>+VLOOKUP(A12,'Estado SCI'!$A$16:$L$59,12,0)</f>
        <v>20.123456789123448</v>
      </c>
      <c r="H12" s="133">
        <f t="shared" si="0"/>
        <v>11</v>
      </c>
      <c r="I12" s="133" t="str">
        <f>+IF(VLOOKUP(A12,'Estado SCI'!$A$16:$G$59,7,0)="","",VLOOKUP(A12,'Estado SCI'!$A$16:$G$59,7,0))</f>
        <v>Si</v>
      </c>
      <c r="J12" s="134">
        <f t="shared" si="2"/>
        <v>1</v>
      </c>
      <c r="K12" s="135">
        <f t="shared" si="1"/>
        <v>1</v>
      </c>
    </row>
    <row r="13" spans="1:11" x14ac:dyDescent="0.25">
      <c r="A13" s="133" t="s">
        <v>154</v>
      </c>
      <c r="B13" s="133" t="s">
        <v>32</v>
      </c>
      <c r="C13" s="133" t="s">
        <v>33</v>
      </c>
      <c r="D13" s="133" t="s">
        <v>58</v>
      </c>
      <c r="E13" s="133" t="s">
        <v>59</v>
      </c>
      <c r="F13" s="133" t="str">
        <f>+VLOOKUP(A13,'Estado SCI'!$A$16:$I$59,9,0)</f>
        <v>Mantenimiento del control</v>
      </c>
      <c r="G13" s="133">
        <f>+VLOOKUP(A13,'Estado SCI'!$A$16:$L$59,12,0)</f>
        <v>20.123456789123455</v>
      </c>
      <c r="H13" s="133">
        <f t="shared" si="0"/>
        <v>12</v>
      </c>
      <c r="I13" s="133" t="str">
        <f>+IF(VLOOKUP(A13,'Estado SCI'!$A$16:$G$59,7,0)="","",VLOOKUP(A13,'Estado SCI'!$A$16:$G$59,7,0))</f>
        <v>Si</v>
      </c>
      <c r="J13" s="134">
        <f t="shared" si="2"/>
        <v>1</v>
      </c>
      <c r="K13" s="135">
        <f t="shared" si="1"/>
        <v>1</v>
      </c>
    </row>
    <row r="14" spans="1:11" ht="15" customHeight="1" x14ac:dyDescent="0.25">
      <c r="A14" s="133" t="s">
        <v>155</v>
      </c>
      <c r="B14" s="133" t="str">
        <f>+VLOOKUP(A14,'Estado SCI'!$A$16:$C$59,3,0)</f>
        <v>EVALUACION DEL RIESGO</v>
      </c>
      <c r="C14" s="133" t="s">
        <v>62</v>
      </c>
      <c r="D14" s="133" t="s">
        <v>34</v>
      </c>
      <c r="E14" s="133" t="s">
        <v>156</v>
      </c>
      <c r="F14" s="133" t="str">
        <f>+VLOOKUP(A14,'Estado SCI'!$A$16:$I$59,9,0)</f>
        <v>Mantenimiento del control</v>
      </c>
      <c r="G14" s="133">
        <f>+VLOOKUP(A14,'Estado SCI'!$A$16:$L$59,12,0)</f>
        <v>40.229999999999997</v>
      </c>
      <c r="H14" s="133">
        <f t="shared" si="0"/>
        <v>15</v>
      </c>
      <c r="I14" s="133" t="str">
        <f>+IF(VLOOKUP(A14,'Estado SCI'!$A$16:$G$59,7,0)="","",VLOOKUP(A14,'Estado SCI'!$A$16:$G$59,7,0))</f>
        <v>Si</v>
      </c>
      <c r="J14" s="134">
        <f t="shared" si="2"/>
        <v>1</v>
      </c>
      <c r="K14" s="135">
        <f t="shared" si="1"/>
        <v>0.8</v>
      </c>
    </row>
    <row r="15" spans="1:11" ht="15" customHeight="1" x14ac:dyDescent="0.25">
      <c r="A15" s="133" t="s">
        <v>157</v>
      </c>
      <c r="B15" s="133" t="s">
        <v>61</v>
      </c>
      <c r="C15" s="133" t="s">
        <v>62</v>
      </c>
      <c r="D15" s="133" t="s">
        <v>37</v>
      </c>
      <c r="E15" s="133" t="s">
        <v>158</v>
      </c>
      <c r="F15" s="133" t="str">
        <f>+VLOOKUP(A15,'Estado SCI'!$A$16:$I$59,9,0)</f>
        <v>Mantenimiento del control</v>
      </c>
      <c r="G15" s="133">
        <f>+VLOOKUP(A15,'Estado SCI'!$A$16:$L$59,12,0)</f>
        <v>40.234000000000002</v>
      </c>
      <c r="H15" s="133">
        <f t="shared" si="0"/>
        <v>16</v>
      </c>
      <c r="I15" s="133" t="str">
        <f>+IF(VLOOKUP(A15,'Estado SCI'!$A$16:$G$59,7,0)="","",VLOOKUP(A15,'Estado SCI'!$A$16:$G$59,7,0))</f>
        <v>Si</v>
      </c>
      <c r="J15" s="134">
        <f t="shared" si="2"/>
        <v>1</v>
      </c>
      <c r="K15" s="135">
        <f t="shared" si="1"/>
        <v>0.8</v>
      </c>
    </row>
    <row r="16" spans="1:11" ht="15" customHeight="1" x14ac:dyDescent="0.25">
      <c r="A16" s="133" t="s">
        <v>159</v>
      </c>
      <c r="B16" s="133" t="s">
        <v>61</v>
      </c>
      <c r="C16" s="133" t="s">
        <v>62</v>
      </c>
      <c r="D16" s="133" t="s">
        <v>40</v>
      </c>
      <c r="E16" s="133" t="s">
        <v>160</v>
      </c>
      <c r="F16" s="133" t="str">
        <f>+VLOOKUP(A16,'Estado SCI'!$A$16:$I$59,9,0)</f>
        <v>Mantenimiento del control</v>
      </c>
      <c r="G16" s="133">
        <f>+VLOOKUP(A16,'Estado SCI'!$A$16:$L$59,12,0)</f>
        <v>40.234499999999997</v>
      </c>
      <c r="H16" s="133">
        <f t="shared" si="0"/>
        <v>17</v>
      </c>
      <c r="I16" s="133" t="str">
        <f>+IF(VLOOKUP(A16,'Estado SCI'!$A$16:$G$59,7,0)="","",VLOOKUP(A16,'Estado SCI'!$A$16:$G$59,7,0))</f>
        <v>Si</v>
      </c>
      <c r="J16" s="134">
        <f t="shared" si="2"/>
        <v>1</v>
      </c>
      <c r="K16" s="135">
        <f t="shared" si="1"/>
        <v>0.8</v>
      </c>
    </row>
    <row r="17" spans="1:11" ht="15.75" customHeight="1" x14ac:dyDescent="0.25">
      <c r="A17" s="133" t="s">
        <v>161</v>
      </c>
      <c r="B17" s="133" t="s">
        <v>61</v>
      </c>
      <c r="C17" s="133" t="s">
        <v>62</v>
      </c>
      <c r="D17" s="133" t="s">
        <v>42</v>
      </c>
      <c r="E17" s="133" t="s">
        <v>66</v>
      </c>
      <c r="F17" s="133" t="str">
        <f>+VLOOKUP(A17,'Estado SCI'!$A$16:$I$59,9,0)</f>
        <v>Mantenimiento del control</v>
      </c>
      <c r="G17" s="133">
        <f>+VLOOKUP(A17,'Estado SCI'!$A$16:$L$59,12,0)</f>
        <v>40.234560000000002</v>
      </c>
      <c r="H17" s="133">
        <f t="shared" si="0"/>
        <v>18</v>
      </c>
      <c r="I17" s="133" t="str">
        <f>+IF(VLOOKUP(A17,'Estado SCI'!$A$16:$G$59,7,0)="","",VLOOKUP(A17,'Estado SCI'!$A$16:$G$59,7,0))</f>
        <v>Si</v>
      </c>
      <c r="J17" s="134">
        <f t="shared" si="2"/>
        <v>1</v>
      </c>
      <c r="K17" s="135">
        <f t="shared" si="1"/>
        <v>0.8</v>
      </c>
    </row>
    <row r="18" spans="1:11" ht="15" customHeight="1" x14ac:dyDescent="0.25">
      <c r="A18" s="133" t="s">
        <v>162</v>
      </c>
      <c r="B18" s="133" t="s">
        <v>61</v>
      </c>
      <c r="C18" s="133" t="s">
        <v>80</v>
      </c>
      <c r="D18" s="133" t="s">
        <v>34</v>
      </c>
      <c r="E18" s="133" t="s">
        <v>69</v>
      </c>
      <c r="F18" s="133" t="str">
        <f>+VLOOKUP(A18,'Estado SCI'!$A$16:$I$59,9,0)</f>
        <v>Mantenimiento del control</v>
      </c>
      <c r="G18" s="133">
        <f>+VLOOKUP(A18,'Estado SCI'!$A$16:$L$59,12,0)</f>
        <v>40.234566999999998</v>
      </c>
      <c r="H18" s="133">
        <f t="shared" si="0"/>
        <v>19</v>
      </c>
      <c r="I18" s="133" t="str">
        <f>+IF(VLOOKUP(A18,'Estado SCI'!$A$16:$G$59,7,0)="","",VLOOKUP(A18,'Estado SCI'!$A$16:$G$59,7,0))</f>
        <v>Si</v>
      </c>
      <c r="J18" s="134">
        <f t="shared" si="2"/>
        <v>1</v>
      </c>
      <c r="K18" s="135">
        <f t="shared" si="1"/>
        <v>0.8</v>
      </c>
    </row>
    <row r="19" spans="1:11" ht="15" customHeight="1" x14ac:dyDescent="0.25">
      <c r="A19" s="133" t="s">
        <v>163</v>
      </c>
      <c r="B19" s="133" t="s">
        <v>61</v>
      </c>
      <c r="C19" s="133" t="s">
        <v>80</v>
      </c>
      <c r="D19" s="133" t="s">
        <v>37</v>
      </c>
      <c r="E19" s="133" t="s">
        <v>70</v>
      </c>
      <c r="F19" s="133" t="str">
        <f>+VLOOKUP(A19,'Estado SCI'!$A$16:$I$59,9,0)</f>
        <v>Mantenimiento del control</v>
      </c>
      <c r="G19" s="133">
        <f>+VLOOKUP(A19,'Estado SCI'!$A$16:$L$59,12,0)</f>
        <v>40.234567800000001</v>
      </c>
      <c r="H19" s="133">
        <f t="shared" si="0"/>
        <v>20</v>
      </c>
      <c r="I19" s="133" t="str">
        <f>+IF(VLOOKUP(A19,'Estado SCI'!$A$16:$G$59,7,0)="","",VLOOKUP(A19,'Estado SCI'!$A$16:$G$59,7,0))</f>
        <v>Si</v>
      </c>
      <c r="J19" s="134">
        <f t="shared" si="2"/>
        <v>1</v>
      </c>
      <c r="K19" s="135">
        <f t="shared" si="1"/>
        <v>0.8</v>
      </c>
    </row>
    <row r="20" spans="1:11" ht="15" customHeight="1" x14ac:dyDescent="0.25">
      <c r="A20" s="133" t="s">
        <v>164</v>
      </c>
      <c r="B20" s="133" t="s">
        <v>61</v>
      </c>
      <c r="C20" s="133" t="s">
        <v>80</v>
      </c>
      <c r="D20" s="133" t="s">
        <v>40</v>
      </c>
      <c r="E20" s="133" t="s">
        <v>71</v>
      </c>
      <c r="F20" s="133" t="str">
        <f>+VLOOKUP(A20,'Estado SCI'!$A$16:$I$59,9,0)</f>
        <v>Mantenimiento del control</v>
      </c>
      <c r="G20" s="133">
        <f>+VLOOKUP(A20,'Estado SCI'!$A$16:$L$59,12,0)</f>
        <v>40.234567890000001</v>
      </c>
      <c r="H20" s="133">
        <f t="shared" si="0"/>
        <v>21</v>
      </c>
      <c r="I20" s="133" t="str">
        <f>+IF(VLOOKUP(A20,'Estado SCI'!$A$16:$G$59,7,0)="","",VLOOKUP(A20,'Estado SCI'!$A$16:$G$59,7,0))</f>
        <v>Si</v>
      </c>
      <c r="J20" s="134">
        <f t="shared" si="2"/>
        <v>1</v>
      </c>
      <c r="K20" s="135">
        <f t="shared" si="1"/>
        <v>0.8</v>
      </c>
    </row>
    <row r="21" spans="1:11" ht="15.75" customHeight="1" x14ac:dyDescent="0.25">
      <c r="A21" s="133" t="s">
        <v>165</v>
      </c>
      <c r="B21" s="133" t="s">
        <v>61</v>
      </c>
      <c r="C21" s="133" t="s">
        <v>80</v>
      </c>
      <c r="D21" s="133" t="s">
        <v>34</v>
      </c>
      <c r="E21" s="133" t="s">
        <v>74</v>
      </c>
      <c r="F21" s="133" t="str">
        <f>+VLOOKUP(A21,'Estado SCI'!$A$16:$I$59,9,0)</f>
        <v>Mantenimiento del control</v>
      </c>
      <c r="G21" s="133">
        <f>+VLOOKUP(A21,'Estado SCI'!$A$16:$L$59,12,0)</f>
        <v>40.234567891200001</v>
      </c>
      <c r="H21" s="133">
        <f t="shared" si="0"/>
        <v>22</v>
      </c>
      <c r="I21" s="133" t="str">
        <f>+IF(VLOOKUP(A21,'Estado SCI'!$A$16:$G$59,7,0)="","",VLOOKUP(A21,'Estado SCI'!$A$16:$G$59,7,0))</f>
        <v>Si</v>
      </c>
      <c r="J21" s="134">
        <f t="shared" si="2"/>
        <v>1</v>
      </c>
      <c r="K21" s="135">
        <f t="shared" si="1"/>
        <v>0.8</v>
      </c>
    </row>
    <row r="22" spans="1:11" ht="15" customHeight="1" x14ac:dyDescent="0.25">
      <c r="A22" s="133" t="s">
        <v>166</v>
      </c>
      <c r="B22" s="133" t="s">
        <v>61</v>
      </c>
      <c r="C22" s="133" t="s">
        <v>88</v>
      </c>
      <c r="D22" s="133" t="s">
        <v>37</v>
      </c>
      <c r="E22" s="133" t="s">
        <v>75</v>
      </c>
      <c r="F22" s="133" t="str">
        <f>+VLOOKUP(A22,'Estado SCI'!$A$16:$I$59,9,0)</f>
        <v>Deficiencia de control</v>
      </c>
      <c r="G22" s="133">
        <f>+VLOOKUP(A22,'Estado SCI'!$A$16:$L$59,12,0)</f>
        <v>20.23456789123</v>
      </c>
      <c r="H22" s="133">
        <f t="shared" si="0"/>
        <v>13</v>
      </c>
      <c r="I22" s="133" t="str">
        <f>+IF(VLOOKUP(A22,'Estado SCI'!$A$16:$G$59,7,0)="","",VLOOKUP(A22,'Estado SCI'!$A$16:$G$59,7,0))</f>
        <v>No</v>
      </c>
      <c r="J22" s="134">
        <f t="shared" si="2"/>
        <v>0</v>
      </c>
      <c r="K22" s="135">
        <f t="shared" si="1"/>
        <v>0.8</v>
      </c>
    </row>
    <row r="23" spans="1:11" ht="15" customHeight="1" x14ac:dyDescent="0.25">
      <c r="A23" s="133" t="s">
        <v>167</v>
      </c>
      <c r="B23" s="133" t="s">
        <v>61</v>
      </c>
      <c r="C23" s="133" t="s">
        <v>88</v>
      </c>
      <c r="D23" s="133" t="s">
        <v>40</v>
      </c>
      <c r="E23" s="133" t="s">
        <v>77</v>
      </c>
      <c r="F23" s="133" t="str">
        <f>+VLOOKUP(A23,'Estado SCI'!$A$16:$I$59,9,0)</f>
        <v>Deficiencia de control</v>
      </c>
      <c r="G23" s="133">
        <f>+VLOOKUP(A23,'Estado SCI'!$A$16:$L$59,12,0)</f>
        <v>20.234567891234001</v>
      </c>
      <c r="H23" s="133">
        <f t="shared" si="0"/>
        <v>14</v>
      </c>
      <c r="I23" s="133" t="str">
        <f>+IF(VLOOKUP(A23,'Estado SCI'!$A$16:$G$59,7,0)="","",VLOOKUP(A23,'Estado SCI'!$A$16:$G$59,7,0))</f>
        <v>No</v>
      </c>
      <c r="J23" s="134">
        <f t="shared" si="2"/>
        <v>0</v>
      </c>
      <c r="K23" s="135">
        <f t="shared" si="1"/>
        <v>0.8</v>
      </c>
    </row>
    <row r="24" spans="1:11" ht="15" customHeight="1" x14ac:dyDescent="0.25">
      <c r="A24" s="133" t="s">
        <v>168</v>
      </c>
      <c r="B24" s="133" t="str">
        <f>+VLOOKUP(A24,'Estado SCI'!$A$16:$C$59,3,0)</f>
        <v>ACTIVIDADES DE CONTROL</v>
      </c>
      <c r="C24" s="133" t="s">
        <v>88</v>
      </c>
      <c r="D24" s="133" t="s">
        <v>34</v>
      </c>
      <c r="E24" s="133" t="s">
        <v>81</v>
      </c>
      <c r="F24" s="133" t="str">
        <f>+VLOOKUP(A24,'Estado SCI'!$A$16:$I$59,9,0)</f>
        <v>Mantenimiento del control</v>
      </c>
      <c r="G24" s="133">
        <f>+VLOOKUP(A24,'Estado SCI'!$A$16:$L$59,12,0)</f>
        <v>60.31</v>
      </c>
      <c r="H24" s="133">
        <f t="shared" si="0"/>
        <v>25</v>
      </c>
      <c r="I24" s="133" t="str">
        <f>+IF(VLOOKUP(A24,'Estado SCI'!$A$16:$G$59,7,0)="","",VLOOKUP(A24,'Estado SCI'!$A$16:$G$59,7,0))</f>
        <v>Si</v>
      </c>
      <c r="J24" s="134">
        <f t="shared" si="2"/>
        <v>1</v>
      </c>
      <c r="K24" s="135">
        <f t="shared" si="1"/>
        <v>0.8</v>
      </c>
    </row>
    <row r="25" spans="1:11" ht="15" customHeight="1" x14ac:dyDescent="0.25">
      <c r="A25" s="133" t="s">
        <v>169</v>
      </c>
      <c r="B25" s="133" t="s">
        <v>79</v>
      </c>
      <c r="C25" s="133" t="s">
        <v>88</v>
      </c>
      <c r="D25" s="133" t="s">
        <v>37</v>
      </c>
      <c r="E25" s="133" t="s">
        <v>82</v>
      </c>
      <c r="F25" s="133" t="str">
        <f>+VLOOKUP(A25,'Estado SCI'!$A$16:$I$59,9,0)</f>
        <v>Oportunidad de mejora</v>
      </c>
      <c r="G25" s="133">
        <f>+VLOOKUP(A25,'Estado SCI'!$A$16:$L$59,12,0)</f>
        <v>50.323</v>
      </c>
      <c r="H25" s="133">
        <f t="shared" si="0"/>
        <v>23</v>
      </c>
      <c r="I25" s="133" t="str">
        <f>+IF(VLOOKUP(A25,'Estado SCI'!$A$16:$G$59,7,0)="","",VLOOKUP(A25,'Estado SCI'!$A$16:$G$59,7,0))</f>
        <v>En proceso</v>
      </c>
      <c r="J25" s="134">
        <f t="shared" si="2"/>
        <v>0.5</v>
      </c>
      <c r="K25" s="135">
        <f t="shared" si="1"/>
        <v>0.8</v>
      </c>
    </row>
    <row r="26" spans="1:11" ht="15" customHeight="1" x14ac:dyDescent="0.25">
      <c r="A26" s="133" t="s">
        <v>170</v>
      </c>
      <c r="B26" s="133" t="s">
        <v>79</v>
      </c>
      <c r="C26" s="133" t="s">
        <v>88</v>
      </c>
      <c r="D26" s="133" t="s">
        <v>40</v>
      </c>
      <c r="E26" s="133" t="s">
        <v>83</v>
      </c>
      <c r="F26" s="133" t="str">
        <f>+VLOOKUP(A26,'Estado SCI'!$A$16:$I$59,9,0)</f>
        <v>Oportunidad de mejora</v>
      </c>
      <c r="G26" s="133">
        <f>+VLOOKUP(A26,'Estado SCI'!$A$16:$L$59,12,0)</f>
        <v>50.323999999999998</v>
      </c>
      <c r="H26" s="133">
        <f t="shared" si="0"/>
        <v>24</v>
      </c>
      <c r="I26" s="133" t="str">
        <f>+IF(VLOOKUP(A26,'Estado SCI'!$A$16:$G$59,7,0)="","",VLOOKUP(A26,'Estado SCI'!$A$16:$G$59,7,0))</f>
        <v>En proceso</v>
      </c>
      <c r="J26" s="134">
        <f t="shared" si="2"/>
        <v>0.5</v>
      </c>
      <c r="K26" s="135">
        <f t="shared" si="1"/>
        <v>0.8</v>
      </c>
    </row>
    <row r="27" spans="1:11" ht="15.75" customHeight="1" x14ac:dyDescent="0.25">
      <c r="A27" s="133" t="s">
        <v>171</v>
      </c>
      <c r="B27" s="133" t="s">
        <v>79</v>
      </c>
      <c r="C27" s="133" t="s">
        <v>88</v>
      </c>
      <c r="D27" s="133" t="s">
        <v>42</v>
      </c>
      <c r="E27" s="133" t="s">
        <v>84</v>
      </c>
      <c r="F27" s="133" t="str">
        <f>+VLOOKUP(A27,'Estado SCI'!$A$16:$I$59,9,0)</f>
        <v>Mantenimiento del control</v>
      </c>
      <c r="G27" s="133">
        <f>+VLOOKUP(A27,'Estado SCI'!$A$16:$L$59,12,0)</f>
        <v>60.325000000000003</v>
      </c>
      <c r="H27" s="133">
        <f t="shared" si="0"/>
        <v>26</v>
      </c>
      <c r="I27" s="133" t="str">
        <f>+IF(VLOOKUP(A27,'Estado SCI'!$A$16:$G$59,7,0)="","",VLOOKUP(A27,'Estado SCI'!$A$16:$G$59,7,0))</f>
        <v>Si</v>
      </c>
      <c r="J27" s="134">
        <f t="shared" si="2"/>
        <v>1</v>
      </c>
      <c r="K27" s="135">
        <f t="shared" si="1"/>
        <v>0.8</v>
      </c>
    </row>
    <row r="28" spans="1:11" ht="15" customHeight="1" x14ac:dyDescent="0.25">
      <c r="A28" s="133" t="s">
        <v>172</v>
      </c>
      <c r="B28" s="133" t="s">
        <v>79</v>
      </c>
      <c r="C28" s="133" t="s">
        <v>98</v>
      </c>
      <c r="D28" s="133" t="s">
        <v>44</v>
      </c>
      <c r="E28" s="133" t="s">
        <v>85</v>
      </c>
      <c r="F28" s="133" t="str">
        <f>+VLOOKUP(A28,'Estado SCI'!$A$16:$I$59,9,0)</f>
        <v>Mantenimiento del control</v>
      </c>
      <c r="G28" s="133">
        <f>+VLOOKUP(A28,'Estado SCI'!$A$16:$L$59,12,0)</f>
        <v>60.326000000000001</v>
      </c>
      <c r="H28" s="133">
        <f t="shared" si="0"/>
        <v>27</v>
      </c>
      <c r="I28" s="133" t="str">
        <f>+IF(VLOOKUP(A28,'Estado SCI'!$A$16:$G$59,7,0)="","",VLOOKUP(A28,'Estado SCI'!$A$16:$G$59,7,0))</f>
        <v>Si</v>
      </c>
      <c r="J28" s="134">
        <f t="shared" si="2"/>
        <v>1</v>
      </c>
      <c r="K28" s="135">
        <f t="shared" si="1"/>
        <v>0.8</v>
      </c>
    </row>
    <row r="29" spans="1:11" ht="15" customHeight="1" x14ac:dyDescent="0.25">
      <c r="A29" s="133" t="s">
        <v>173</v>
      </c>
      <c r="B29" s="133" t="str">
        <f>+VLOOKUP(A29,'Estado SCI'!$A$16:$C$59,3,0)</f>
        <v>INFORMACION Y COMUNICACIÓN</v>
      </c>
      <c r="C29" s="133" t="s">
        <v>98</v>
      </c>
      <c r="D29" s="133" t="s">
        <v>34</v>
      </c>
      <c r="E29" s="133" t="s">
        <v>89</v>
      </c>
      <c r="F29" s="133" t="str">
        <f>+VLOOKUP(A29,'Estado SCI'!$A$16:$I$59,9,0)</f>
        <v>Mantenimiento del control</v>
      </c>
      <c r="G29" s="133">
        <f>+VLOOKUP(A29,'Estado SCI'!$A$16:$L$59,12,0)</f>
        <v>80.412000000000006</v>
      </c>
      <c r="H29" s="133">
        <f t="shared" si="0"/>
        <v>28</v>
      </c>
      <c r="I29" s="133" t="str">
        <f>+IF(VLOOKUP(A29,'Estado SCI'!$A$16:$G$59,7,0)="","",VLOOKUP(A29,'Estado SCI'!$A$16:$G$59,7,0))</f>
        <v>Si</v>
      </c>
      <c r="J29" s="134">
        <f t="shared" si="2"/>
        <v>1</v>
      </c>
      <c r="K29" s="135">
        <f t="shared" si="1"/>
        <v>1</v>
      </c>
    </row>
    <row r="30" spans="1:11" ht="15" customHeight="1" x14ac:dyDescent="0.25">
      <c r="A30" s="133" t="s">
        <v>174</v>
      </c>
      <c r="B30" s="133" t="s">
        <v>87</v>
      </c>
      <c r="C30" s="133" t="s">
        <v>98</v>
      </c>
      <c r="D30" s="133" t="s">
        <v>37</v>
      </c>
      <c r="E30" s="133" t="s">
        <v>90</v>
      </c>
      <c r="F30" s="133" t="str">
        <f>+VLOOKUP(A30,'Estado SCI'!$A$16:$I$59,9,0)</f>
        <v>Mantenimiento del control</v>
      </c>
      <c r="G30" s="133">
        <f>+VLOOKUP(A30,'Estado SCI'!$A$16:$L$59,12,0)</f>
        <v>80.412300000000002</v>
      </c>
      <c r="H30" s="133">
        <f t="shared" si="0"/>
        <v>29</v>
      </c>
      <c r="I30" s="133" t="str">
        <f>+IF(VLOOKUP(A30,'Estado SCI'!$A$16:$G$59,7,0)="","",VLOOKUP(A30,'Estado SCI'!$A$16:$G$59,7,0))</f>
        <v>Si</v>
      </c>
      <c r="J30" s="134">
        <f t="shared" si="2"/>
        <v>1</v>
      </c>
      <c r="K30" s="135">
        <f t="shared" si="1"/>
        <v>1</v>
      </c>
    </row>
    <row r="31" spans="1:11" ht="15.75" customHeight="1" x14ac:dyDescent="0.25">
      <c r="A31" s="133" t="s">
        <v>175</v>
      </c>
      <c r="B31" s="133" t="s">
        <v>87</v>
      </c>
      <c r="C31" s="133" t="s">
        <v>98</v>
      </c>
      <c r="D31" s="133" t="s">
        <v>40</v>
      </c>
      <c r="E31" s="133" t="s">
        <v>91</v>
      </c>
      <c r="F31" s="133" t="str">
        <f>+VLOOKUP(A31,'Estado SCI'!$A$16:$I$59,9,0)</f>
        <v>Mantenimiento del control</v>
      </c>
      <c r="G31" s="133">
        <f>+VLOOKUP(A31,'Estado SCI'!$A$16:$L$59,12,0)</f>
        <v>80.41234</v>
      </c>
      <c r="H31" s="133">
        <f t="shared" si="0"/>
        <v>30</v>
      </c>
      <c r="I31" s="133" t="str">
        <f>+IF(VLOOKUP(A31,'Estado SCI'!$A$16:$G$59,7,0)="","",VLOOKUP(A31,'Estado SCI'!$A$16:$G$59,7,0))</f>
        <v>Si</v>
      </c>
      <c r="J31" s="134">
        <f t="shared" si="2"/>
        <v>1</v>
      </c>
      <c r="K31" s="135">
        <f t="shared" si="1"/>
        <v>1</v>
      </c>
    </row>
    <row r="32" spans="1:11" x14ac:dyDescent="0.25">
      <c r="A32" s="133" t="s">
        <v>176</v>
      </c>
      <c r="B32" s="133" t="s">
        <v>87</v>
      </c>
      <c r="C32" s="133" t="s">
        <v>104</v>
      </c>
      <c r="D32" s="133" t="s">
        <v>42</v>
      </c>
      <c r="E32" s="133" t="s">
        <v>92</v>
      </c>
      <c r="F32" s="133" t="str">
        <f>+VLOOKUP(A32,'Estado SCI'!$A$16:$I$59,9,0)</f>
        <v>Mantenimiento del control</v>
      </c>
      <c r="G32" s="133">
        <f>+VLOOKUP(A32,'Estado SCI'!$A$16:$L$59,12,0)</f>
        <v>80.412345000000002</v>
      </c>
      <c r="H32" s="133">
        <f t="shared" si="0"/>
        <v>31</v>
      </c>
      <c r="I32" s="133" t="str">
        <f>+IF(VLOOKUP(A32,'Estado SCI'!$A$16:$G$59,7,0)="","",VLOOKUP(A32,'Estado SCI'!$A$16:$G$59,7,0))</f>
        <v>Si</v>
      </c>
      <c r="J32" s="134">
        <f t="shared" si="2"/>
        <v>1</v>
      </c>
      <c r="K32" s="135">
        <f t="shared" si="1"/>
        <v>1</v>
      </c>
    </row>
    <row r="33" spans="1:11" x14ac:dyDescent="0.25">
      <c r="A33" s="133" t="s">
        <v>177</v>
      </c>
      <c r="B33" s="133" t="s">
        <v>87</v>
      </c>
      <c r="C33" s="133" t="s">
        <v>178</v>
      </c>
      <c r="D33" s="133" t="s">
        <v>44</v>
      </c>
      <c r="E33" s="133" t="s">
        <v>93</v>
      </c>
      <c r="F33" s="133" t="str">
        <f>+VLOOKUP(A33,'Estado SCI'!$A$16:$I$59,9,0)</f>
        <v>Mantenimiento del control</v>
      </c>
      <c r="G33" s="133">
        <f>+VLOOKUP(A33,'Estado SCI'!$A$16:$L$59,12,0)</f>
        <v>80.412345599999995</v>
      </c>
      <c r="H33" s="133">
        <f t="shared" si="0"/>
        <v>32</v>
      </c>
      <c r="I33" s="133" t="str">
        <f>+IF(VLOOKUP(A33,'Estado SCI'!$A$16:$G$59,7,0)="","",VLOOKUP(A33,'Estado SCI'!$A$16:$G$59,7,0))</f>
        <v>Si</v>
      </c>
      <c r="J33" s="134">
        <f t="shared" si="2"/>
        <v>1</v>
      </c>
      <c r="K33" s="135">
        <f t="shared" si="1"/>
        <v>1</v>
      </c>
    </row>
    <row r="34" spans="1:11" x14ac:dyDescent="0.25">
      <c r="A34" s="133" t="s">
        <v>179</v>
      </c>
      <c r="B34" s="133" t="s">
        <v>87</v>
      </c>
      <c r="C34" s="133" t="s">
        <v>178</v>
      </c>
      <c r="D34" s="133" t="s">
        <v>46</v>
      </c>
      <c r="E34" s="133" t="s">
        <v>94</v>
      </c>
      <c r="F34" s="133" t="str">
        <f>+VLOOKUP(A34,'Estado SCI'!$A$16:$I$59,9,0)</f>
        <v>Mantenimiento del control</v>
      </c>
      <c r="G34" s="133">
        <f>+VLOOKUP(A34,'Estado SCI'!$A$16:$L$59,12,0)</f>
        <v>80.412345669999993</v>
      </c>
      <c r="H34" s="133">
        <f t="shared" si="0"/>
        <v>33</v>
      </c>
      <c r="I34" s="133" t="str">
        <f>+IF(VLOOKUP(A34,'Estado SCI'!$A$16:$G$59,7,0)="","",VLOOKUP(A34,'Estado SCI'!$A$16:$G$59,7,0))</f>
        <v>Si</v>
      </c>
      <c r="J34" s="134">
        <f t="shared" si="2"/>
        <v>1</v>
      </c>
      <c r="K34" s="135">
        <f t="shared" si="1"/>
        <v>1</v>
      </c>
    </row>
    <row r="35" spans="1:11" x14ac:dyDescent="0.25">
      <c r="A35" s="133" t="s">
        <v>180</v>
      </c>
      <c r="B35" s="133" t="s">
        <v>87</v>
      </c>
      <c r="C35" s="133" t="s">
        <v>178</v>
      </c>
      <c r="D35" s="133" t="s">
        <v>48</v>
      </c>
      <c r="E35" s="133" t="s">
        <v>95</v>
      </c>
      <c r="F35" s="133" t="str">
        <f>+VLOOKUP(A35,'Estado SCI'!$A$16:$I$59,9,0)</f>
        <v>Mantenimiento del control</v>
      </c>
      <c r="G35" s="133">
        <f>+VLOOKUP(A35,'Estado SCI'!$A$16:$L$59,12,0)</f>
        <v>80.412345677999994</v>
      </c>
      <c r="H35" s="133">
        <f t="shared" si="0"/>
        <v>34</v>
      </c>
      <c r="I35" s="133" t="str">
        <f>+IF(VLOOKUP(A35,'Estado SCI'!$A$16:$G$59,7,0)="","",VLOOKUP(A35,'Estado SCI'!$A$16:$G$59,7,0))</f>
        <v>Si</v>
      </c>
      <c r="J35" s="134">
        <f t="shared" si="2"/>
        <v>1</v>
      </c>
      <c r="K35" s="135">
        <f t="shared" si="1"/>
        <v>1</v>
      </c>
    </row>
    <row r="36" spans="1:11" x14ac:dyDescent="0.25">
      <c r="A36" s="133" t="s">
        <v>181</v>
      </c>
      <c r="B36" s="133" t="str">
        <f>+VLOOKUP(A36,'Estado SCI'!$A$16:$C$59,3,0)</f>
        <v>ACTIVIDADES DE MONITOREO</v>
      </c>
      <c r="C36" s="133" t="s">
        <v>178</v>
      </c>
      <c r="D36" s="133" t="s">
        <v>34</v>
      </c>
      <c r="E36" s="133" t="s">
        <v>99</v>
      </c>
      <c r="F36" s="133" t="str">
        <f>+VLOOKUP(A36,'Estado SCI'!$A$16:$I$59,9,0)</f>
        <v>Mantenimiento del control</v>
      </c>
      <c r="G36" s="133">
        <f>+VLOOKUP(A36,'Estado SCI'!$A$16:$L$59,12,0)</f>
        <v>120.851</v>
      </c>
      <c r="H36" s="133">
        <f t="shared" si="0"/>
        <v>37</v>
      </c>
      <c r="I36" s="133" t="str">
        <f>+IF(VLOOKUP(A36,'Estado SCI'!$A$16:$G$59,7,0)="","",VLOOKUP(A36,'Estado SCI'!$A$16:$G$59,7,0))</f>
        <v>Si</v>
      </c>
      <c r="J36" s="134">
        <f t="shared" si="2"/>
        <v>1</v>
      </c>
      <c r="K36" s="135">
        <f t="shared" si="1"/>
        <v>0.9</v>
      </c>
    </row>
    <row r="37" spans="1:11" x14ac:dyDescent="0.25">
      <c r="A37" s="133" t="s">
        <v>182</v>
      </c>
      <c r="B37" s="133" t="s">
        <v>97</v>
      </c>
      <c r="C37" s="133" t="s">
        <v>178</v>
      </c>
      <c r="D37" s="133" t="s">
        <v>42</v>
      </c>
      <c r="E37" s="133" t="s">
        <v>100</v>
      </c>
      <c r="F37" s="133" t="str">
        <f>+VLOOKUP(A37,'Estado SCI'!$A$16:$I$59,9,0)</f>
        <v>Mantenimiento del control</v>
      </c>
      <c r="G37" s="133">
        <f>+VLOOKUP(A37,'Estado SCI'!$A$16:$L$59,12,0)</f>
        <v>120.85120000000001</v>
      </c>
      <c r="H37" s="133">
        <f t="shared" si="0"/>
        <v>38</v>
      </c>
      <c r="I37" s="133" t="str">
        <f>+IF(VLOOKUP(A37,'Estado SCI'!$A$16:$G$59,7,0)="","",VLOOKUP(A37,'Estado SCI'!$A$16:$G$59,7,0))</f>
        <v>Si</v>
      </c>
      <c r="J37" s="134">
        <f t="shared" si="2"/>
        <v>1</v>
      </c>
      <c r="K37" s="135">
        <f t="shared" si="1"/>
        <v>0.9</v>
      </c>
    </row>
    <row r="38" spans="1:11" x14ac:dyDescent="0.25">
      <c r="A38" s="133" t="s">
        <v>183</v>
      </c>
      <c r="B38" s="133" t="s">
        <v>97</v>
      </c>
      <c r="C38" s="133" t="s">
        <v>68</v>
      </c>
      <c r="D38" s="133" t="s">
        <v>46</v>
      </c>
      <c r="E38" s="133" t="s">
        <v>101</v>
      </c>
      <c r="F38" s="133" t="str">
        <f>+VLOOKUP(A38,'Estado SCI'!$A$16:$I$59,9,0)</f>
        <v>Mantenimiento del control</v>
      </c>
      <c r="G38" s="133">
        <f>+VLOOKUP(A38,'Estado SCI'!$A$16:$L$59,12,0)</f>
        <v>120.85123</v>
      </c>
      <c r="H38" s="133">
        <f t="shared" si="0"/>
        <v>39</v>
      </c>
      <c r="I38" s="133" t="str">
        <f>+IF(VLOOKUP(A38,'Estado SCI'!$A$16:$G$59,7,0)="","",VLOOKUP(A38,'Estado SCI'!$A$16:$G$59,7,0))</f>
        <v>Si</v>
      </c>
      <c r="J38" s="134">
        <f t="shared" si="2"/>
        <v>1</v>
      </c>
      <c r="K38" s="135">
        <f t="shared" si="1"/>
        <v>0.9</v>
      </c>
    </row>
    <row r="39" spans="1:11" x14ac:dyDescent="0.25">
      <c r="A39" s="133" t="s">
        <v>184</v>
      </c>
      <c r="B39" s="133" t="s">
        <v>97</v>
      </c>
      <c r="C39" s="133" t="s">
        <v>68</v>
      </c>
      <c r="D39" s="133" t="s">
        <v>48</v>
      </c>
      <c r="E39" s="133" t="s">
        <v>102</v>
      </c>
      <c r="F39" s="133" t="str">
        <f>+VLOOKUP(A39,'Estado SCI'!$A$16:$I$59,9,0)</f>
        <v>Mantenimiento del control</v>
      </c>
      <c r="G39" s="133">
        <f>+VLOOKUP(A39,'Estado SCI'!$A$16:$L$59,12,0)</f>
        <v>120.85123400000001</v>
      </c>
      <c r="H39" s="133">
        <f t="shared" si="0"/>
        <v>40</v>
      </c>
      <c r="I39" s="133" t="str">
        <f>+IF(VLOOKUP(A39,'Estado SCI'!$A$16:$G$59,7,0)="","",VLOOKUP(A39,'Estado SCI'!$A$16:$G$59,7,0))</f>
        <v>Si</v>
      </c>
      <c r="J39" s="134">
        <f t="shared" si="2"/>
        <v>1</v>
      </c>
      <c r="K39" s="135">
        <f t="shared" si="1"/>
        <v>0.9</v>
      </c>
    </row>
    <row r="40" spans="1:11" x14ac:dyDescent="0.25">
      <c r="A40" s="133" t="s">
        <v>185</v>
      </c>
      <c r="B40" s="133" t="s">
        <v>97</v>
      </c>
      <c r="C40" s="133" t="s">
        <v>68</v>
      </c>
      <c r="D40" s="133" t="s">
        <v>50</v>
      </c>
      <c r="E40" s="133" t="s">
        <v>105</v>
      </c>
      <c r="F40" s="133" t="str">
        <f>+VLOOKUP(A40,'Estado SCI'!$A$16:$I$59,9,0)</f>
        <v>Mantenimiento del control</v>
      </c>
      <c r="G40" s="133">
        <f>+VLOOKUP(A40,'Estado SCI'!$A$16:$L$59,12,0)</f>
        <v>120.8512345</v>
      </c>
      <c r="H40" s="133">
        <f t="shared" si="0"/>
        <v>41</v>
      </c>
      <c r="I40" s="133" t="str">
        <f>+IF(VLOOKUP(A40,'Estado SCI'!$A$16:$G$59,7,0)="","",VLOOKUP(A40,'Estado SCI'!$A$16:$G$59,7,0))</f>
        <v>Si</v>
      </c>
      <c r="J40" s="134">
        <f t="shared" si="2"/>
        <v>1</v>
      </c>
      <c r="K40" s="135">
        <f t="shared" si="1"/>
        <v>0.9</v>
      </c>
    </row>
    <row r="41" spans="1:11" x14ac:dyDescent="0.25">
      <c r="A41" s="133" t="s">
        <v>186</v>
      </c>
      <c r="B41" s="133" t="s">
        <v>97</v>
      </c>
      <c r="C41" s="133" t="s">
        <v>68</v>
      </c>
      <c r="D41" s="133" t="s">
        <v>34</v>
      </c>
      <c r="E41" s="133" t="s">
        <v>108</v>
      </c>
      <c r="F41" s="133" t="str">
        <f>+VLOOKUP(A41,'Estado SCI'!$A$16:$I$59,9,0)</f>
        <v>Mantenimiento del control</v>
      </c>
      <c r="G41" s="133">
        <f>+VLOOKUP(A41,'Estado SCI'!$A$16:$L$59,12,0)</f>
        <v>120.85123455999999</v>
      </c>
      <c r="H41" s="133">
        <f t="shared" si="0"/>
        <v>42</v>
      </c>
      <c r="I41" s="133" t="str">
        <f>+IF(VLOOKUP(A41,'Estado SCI'!$A$16:$G$59,7,0)="","",VLOOKUP(A41,'Estado SCI'!$A$16:$G$59,7,0))</f>
        <v>Si</v>
      </c>
      <c r="J41" s="134">
        <f t="shared" si="2"/>
        <v>1</v>
      </c>
      <c r="K41" s="135">
        <f t="shared" si="1"/>
        <v>0.9</v>
      </c>
    </row>
    <row r="42" spans="1:11" x14ac:dyDescent="0.25">
      <c r="A42" s="133" t="s">
        <v>187</v>
      </c>
      <c r="B42" s="133" t="s">
        <v>97</v>
      </c>
      <c r="C42" s="133" t="s">
        <v>73</v>
      </c>
      <c r="D42" s="133" t="s">
        <v>37</v>
      </c>
      <c r="E42" s="133" t="s">
        <v>109</v>
      </c>
      <c r="F42" s="133" t="str">
        <f>+VLOOKUP(A42,'Estado SCI'!$A$16:$I$59,9,0)</f>
        <v>Oportunidad de mejora</v>
      </c>
      <c r="G42" s="133">
        <f>+VLOOKUP(A42,'Estado SCI'!$A$16:$L$59,12,0)</f>
        <v>100.85123456700001</v>
      </c>
      <c r="H42" s="133">
        <f t="shared" si="0"/>
        <v>35</v>
      </c>
      <c r="I42" s="133" t="str">
        <f>+IF(VLOOKUP(A42,'Estado SCI'!$A$16:$G$59,7,0)="","",VLOOKUP(A42,'Estado SCI'!$A$16:$G$59,7,0))</f>
        <v>En proceso</v>
      </c>
      <c r="J42" s="134">
        <f t="shared" si="2"/>
        <v>0.5</v>
      </c>
      <c r="K42" s="135">
        <f t="shared" si="1"/>
        <v>0.9</v>
      </c>
    </row>
    <row r="43" spans="1:11" x14ac:dyDescent="0.25">
      <c r="A43" s="133" t="s">
        <v>188</v>
      </c>
      <c r="B43" s="133" t="s">
        <v>97</v>
      </c>
      <c r="C43" s="133" t="s">
        <v>73</v>
      </c>
      <c r="D43" s="133" t="s">
        <v>40</v>
      </c>
      <c r="E43" s="133" t="s">
        <v>110</v>
      </c>
      <c r="F43" s="133" t="str">
        <f>+VLOOKUP(A43,'Estado SCI'!$A$16:$I$59,9,0)</f>
        <v>Mantenimiento del control</v>
      </c>
      <c r="G43" s="133">
        <f>+VLOOKUP(A43,'Estado SCI'!$A$16:$L$59,12,0)</f>
        <v>120.85123456780001</v>
      </c>
      <c r="H43" s="133">
        <f t="shared" si="0"/>
        <v>43</v>
      </c>
      <c r="I43" s="133" t="str">
        <f>+IF(VLOOKUP(A43,'Estado SCI'!$A$16:$G$59,7,0)="","",VLOOKUP(A43,'Estado SCI'!$A$16:$G$59,7,0))</f>
        <v>Si</v>
      </c>
      <c r="J43" s="134">
        <f t="shared" si="2"/>
        <v>1</v>
      </c>
      <c r="K43" s="135">
        <f t="shared" si="1"/>
        <v>0.9</v>
      </c>
    </row>
    <row r="44" spans="1:11" x14ac:dyDescent="0.25">
      <c r="A44" s="133" t="s">
        <v>189</v>
      </c>
      <c r="B44" s="133" t="s">
        <v>97</v>
      </c>
      <c r="C44" s="133" t="s">
        <v>73</v>
      </c>
      <c r="D44" s="133" t="s">
        <v>42</v>
      </c>
      <c r="E44" s="133" t="s">
        <v>111</v>
      </c>
      <c r="F44" s="133" t="str">
        <f>+VLOOKUP(A44,'Estado SCI'!$A$16:$I$59,9,0)</f>
        <v>Mantenimiento del control</v>
      </c>
      <c r="G44" s="133">
        <f>+VLOOKUP(A44,'Estado SCI'!$A$16:$L$59,12,0)</f>
        <v>120.85123456789</v>
      </c>
      <c r="H44" s="133">
        <f t="shared" si="0"/>
        <v>44</v>
      </c>
      <c r="I44" s="133" t="str">
        <f>+IF(VLOOKUP(A44,'Estado SCI'!$A$16:$G$59,7,0)="","",VLOOKUP(A44,'Estado SCI'!$A$16:$G$59,7,0))</f>
        <v>Si</v>
      </c>
      <c r="J44" s="134">
        <f t="shared" si="2"/>
        <v>1</v>
      </c>
      <c r="K44" s="135">
        <f t="shared" si="1"/>
        <v>0.9</v>
      </c>
    </row>
    <row r="45" spans="1:11" x14ac:dyDescent="0.25">
      <c r="A45" s="133" t="s">
        <v>190</v>
      </c>
      <c r="B45" s="133" t="s">
        <v>97</v>
      </c>
      <c r="C45" s="133" t="s">
        <v>73</v>
      </c>
      <c r="D45" s="133" t="s">
        <v>44</v>
      </c>
      <c r="E45" s="133" t="s">
        <v>112</v>
      </c>
      <c r="F45" s="133" t="str">
        <f>+VLOOKUP(A45,'Estado SCI'!$A$16:$I$59,9,0)</f>
        <v>Oportunidad de mejora</v>
      </c>
      <c r="G45" s="133">
        <f>+VLOOKUP(A45,'Estado SCI'!$A$16:$L$59,12,0)</f>
        <v>100.851234567891</v>
      </c>
      <c r="H45" s="133">
        <f t="shared" si="0"/>
        <v>36</v>
      </c>
      <c r="I45" s="133" t="str">
        <f>+IF(VLOOKUP(A45,'Estado SCI'!$A$16:$G$59,7,0)="","",VLOOKUP(A45,'Estado SCI'!$A$16:$G$59,7,0))</f>
        <v>En proceso</v>
      </c>
      <c r="J45" s="134">
        <f t="shared" si="2"/>
        <v>0.5</v>
      </c>
      <c r="K45" s="135">
        <f t="shared" si="1"/>
        <v>0.9</v>
      </c>
    </row>
  </sheetData>
  <sheetProtection algorithmName="SHA-512" hashValue="eXgkKlTi9xJKAI7t6Aeb2RaFpkfyF43pI2BIhtxDc7hsl0SqLK8I4Wc7jbZwC5kw3uyIHOBIUXRnh5cC70LKYA==" saltValue="AxKzX6Ar80vT7acQV8rFpQ==" spinCount="100000" sheet="1" objects="1" scenarios="1" selectLockedCells="1"/>
  <autoFilter ref="A1:K4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Estado SCI</vt:lpstr>
      <vt:lpstr>Análisis Resultados</vt:lpstr>
      <vt:lpstr>Conclusión</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 Juntas Piso 6</dc:creator>
  <cp:keywords/>
  <dc:description/>
  <cp:lastModifiedBy>Control Interno</cp:lastModifiedBy>
  <cp:revision/>
  <dcterms:created xsi:type="dcterms:W3CDTF">2020-04-28T13:58:09Z</dcterms:created>
  <dcterms:modified xsi:type="dcterms:W3CDTF">2025-02-07T14:54:45Z</dcterms:modified>
  <cp:category/>
  <cp:contentStatus/>
</cp:coreProperties>
</file>