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 PLANEACION\3. PLAN DE ACCION PDM\2021\Plan de Accion 2021\Seguimiento Septiembre 2021\"/>
    </mc:Choice>
  </mc:AlternateContent>
  <bookViews>
    <workbookView xWindow="0" yWindow="0" windowWidth="28800" windowHeight="12330"/>
  </bookViews>
  <sheets>
    <sheet name="IMCY" sheetId="25" r:id="rId1"/>
  </sheets>
  <externalReferences>
    <externalReference r:id="rId2"/>
  </externalReferences>
  <definedNames>
    <definedName name="_xlnm._FilterDatabase" localSheetId="0" hidden="1">IMCY!$A$8:$BH$114</definedName>
    <definedName name="Conceptos_MOD" localSheetId="0">[1]Gastos_Inversión_2012!#REF!</definedName>
    <definedName name="Conceptos_MOD">[1]Gastos_Inversión_2012!#REF!</definedName>
    <definedName name="ESTRATREGICOS" localSheetId="0">#REF!</definedName>
    <definedName name="ESTRATREGICOS">#REF!</definedName>
    <definedName name="MUNICIPIOS_CHIP" localSheetId="0">#REF!</definedName>
    <definedName name="MUNICIPIOS_CHIP">#REF!</definedName>
    <definedName name="SSSS" localSheetId="0">#REF!</definedName>
    <definedName name="SSSS">#REF!</definedName>
    <definedName name="XXX" localSheetId="0">#REF!</definedName>
    <definedName name="XXX">#REF!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2" i="25" l="1"/>
  <c r="P112" i="25"/>
  <c r="W86" i="25"/>
  <c r="U46" i="25"/>
  <c r="V77" i="25"/>
  <c r="U77" i="25"/>
  <c r="T77" i="25"/>
  <c r="S77" i="25"/>
  <c r="W78" i="25"/>
  <c r="W82" i="25"/>
  <c r="W83" i="25"/>
  <c r="W85" i="25"/>
  <c r="W46" i="25"/>
  <c r="W49" i="25"/>
  <c r="W47" i="25"/>
  <c r="V46" i="25"/>
  <c r="T46" i="25"/>
  <c r="S46" i="25"/>
  <c r="W27" i="25"/>
  <c r="W26" i="25"/>
  <c r="N26" i="25"/>
  <c r="O26" i="25"/>
  <c r="P26" i="25"/>
  <c r="O24" i="25"/>
  <c r="P24" i="25"/>
  <c r="N24" i="25"/>
  <c r="N23" i="25"/>
  <c r="O23" i="25"/>
  <c r="P23" i="25"/>
  <c r="W23" i="25"/>
  <c r="W24" i="25"/>
  <c r="P18" i="25"/>
  <c r="N18" i="25"/>
  <c r="O18" i="25"/>
  <c r="W22" i="25"/>
  <c r="W21" i="25"/>
  <c r="W20" i="25"/>
  <c r="W19" i="25"/>
  <c r="W18" i="25"/>
  <c r="W77" i="25" l="1"/>
  <c r="N9" i="25" l="1"/>
  <c r="O9" i="25"/>
  <c r="W17" i="25"/>
  <c r="W16" i="25"/>
  <c r="W14" i="25"/>
  <c r="P9" i="25" s="1"/>
  <c r="W12" i="25"/>
  <c r="W10" i="25"/>
  <c r="W9" i="25"/>
  <c r="N111" i="25"/>
  <c r="N101" i="25"/>
  <c r="N99" i="25"/>
  <c r="O99" i="25"/>
  <c r="O101" i="25"/>
  <c r="O111" i="25"/>
  <c r="P111" i="25"/>
  <c r="W111" i="25"/>
  <c r="W110" i="25"/>
  <c r="W105" i="25"/>
  <c r="W109" i="25"/>
  <c r="W108" i="25"/>
  <c r="W107" i="25"/>
  <c r="W106" i="25"/>
  <c r="W104" i="25"/>
  <c r="S104" i="25"/>
  <c r="T104" i="25"/>
  <c r="U104" i="25"/>
  <c r="AG83" i="25"/>
  <c r="AG70" i="25"/>
  <c r="AJ111" i="25"/>
  <c r="AJ110" i="25"/>
  <c r="AJ109" i="25"/>
  <c r="AJ107" i="25"/>
  <c r="AJ101" i="25"/>
  <c r="AJ100" i="25"/>
  <c r="AJ98" i="25"/>
  <c r="AJ92" i="25"/>
  <c r="AJ91" i="25"/>
  <c r="AJ90" i="25"/>
  <c r="AJ87" i="25"/>
  <c r="AJ86" i="25"/>
  <c r="AJ85" i="25"/>
  <c r="AJ84" i="25"/>
  <c r="AJ83" i="25"/>
  <c r="AJ82" i="25"/>
  <c r="AJ81" i="25"/>
  <c r="AJ80" i="25"/>
  <c r="AJ79" i="25"/>
  <c r="AJ78" i="25"/>
  <c r="AJ76" i="25"/>
  <c r="AJ75" i="25"/>
  <c r="AJ74" i="25"/>
  <c r="AJ73" i="25"/>
  <c r="AJ70" i="25"/>
  <c r="AJ68" i="25"/>
  <c r="AJ67" i="25"/>
  <c r="AJ66" i="25"/>
  <c r="AJ65" i="25"/>
  <c r="AJ64" i="25"/>
  <c r="AJ63" i="25"/>
  <c r="AJ62" i="25"/>
  <c r="AJ61" i="25"/>
  <c r="AJ60" i="25"/>
  <c r="AJ59" i="25"/>
  <c r="AJ58" i="25"/>
  <c r="AJ57" i="25"/>
  <c r="AJ55" i="25"/>
  <c r="AJ53" i="25"/>
  <c r="AJ50" i="25"/>
  <c r="AJ49" i="25"/>
  <c r="AJ48" i="25"/>
  <c r="AJ47" i="25"/>
  <c r="AJ36" i="25"/>
  <c r="AJ28" i="25"/>
  <c r="AJ26" i="25"/>
  <c r="AJ25" i="25"/>
  <c r="AJ24" i="25"/>
  <c r="AJ23" i="25"/>
  <c r="AJ22" i="25"/>
  <c r="AJ21" i="25"/>
  <c r="AJ20" i="25"/>
  <c r="AJ19" i="25"/>
  <c r="AJ18" i="25"/>
  <c r="AJ17" i="25"/>
  <c r="AJ16" i="25"/>
  <c r="AJ15" i="25"/>
  <c r="AJ14" i="25"/>
  <c r="AJ13" i="25"/>
  <c r="AJ12" i="25"/>
  <c r="AJ11" i="25"/>
  <c r="AJ10" i="25"/>
  <c r="AJ9" i="25"/>
  <c r="AH111" i="25"/>
  <c r="AH110" i="25"/>
  <c r="AH109" i="25"/>
  <c r="AH107" i="25"/>
  <c r="AH101" i="25"/>
  <c r="AH100" i="25"/>
  <c r="AH98" i="25"/>
  <c r="AH92" i="25"/>
  <c r="AH91" i="25"/>
  <c r="AH90" i="25"/>
  <c r="AH87" i="25"/>
  <c r="AH86" i="25"/>
  <c r="AH85" i="25"/>
  <c r="AH84" i="25"/>
  <c r="AH83" i="25"/>
  <c r="AH82" i="25"/>
  <c r="AH81" i="25"/>
  <c r="AH80" i="25"/>
  <c r="AH79" i="25"/>
  <c r="AH78" i="25"/>
  <c r="AH76" i="25"/>
  <c r="AH75" i="25"/>
  <c r="AH74" i="25"/>
  <c r="AH73" i="25"/>
  <c r="AH70" i="25"/>
  <c r="AH68" i="25"/>
  <c r="AH67" i="25"/>
  <c r="AH66" i="25"/>
  <c r="AH65" i="25"/>
  <c r="AH64" i="25"/>
  <c r="AH63" i="25"/>
  <c r="AH62" i="25"/>
  <c r="AH61" i="25"/>
  <c r="AH60" i="25"/>
  <c r="AH59" i="25"/>
  <c r="AH58" i="25"/>
  <c r="AH57" i="25"/>
  <c r="AH55" i="25"/>
  <c r="AH53" i="25"/>
  <c r="AH50" i="25"/>
  <c r="AH49" i="25"/>
  <c r="AH48" i="25"/>
  <c r="AH47" i="25"/>
  <c r="AH36" i="25"/>
  <c r="AH28" i="25"/>
  <c r="AH26" i="25"/>
  <c r="AH25" i="25"/>
  <c r="AH24" i="25"/>
  <c r="AH23" i="25"/>
  <c r="AH22" i="25"/>
  <c r="AH21" i="25"/>
  <c r="AH20" i="25"/>
  <c r="AH19" i="25"/>
  <c r="AH18" i="25"/>
  <c r="AH17" i="25"/>
  <c r="AH16" i="25"/>
  <c r="AH15" i="25"/>
  <c r="AH14" i="25"/>
  <c r="AH13" i="25"/>
  <c r="AH12" i="25"/>
  <c r="AH11" i="25"/>
  <c r="AH10" i="25"/>
  <c r="AH9" i="25"/>
  <c r="AF112" i="25"/>
  <c r="AG112" i="25"/>
  <c r="AI112" i="25"/>
  <c r="AE112" i="25"/>
  <c r="AF49" i="25"/>
  <c r="AF47" i="25"/>
  <c r="AG36" i="25"/>
  <c r="AF36" i="25"/>
  <c r="AG26" i="25"/>
  <c r="AG28" i="25"/>
  <c r="AH112" i="25" l="1"/>
  <c r="AJ112" i="25"/>
  <c r="AE113" i="25"/>
  <c r="AE114" i="25" s="1"/>
  <c r="AF114" i="25"/>
  <c r="AF98" i="25"/>
  <c r="AF110" i="25" l="1"/>
  <c r="V104" i="25"/>
  <c r="W103" i="25"/>
  <c r="W102" i="25"/>
  <c r="U101" i="25"/>
  <c r="T101" i="25"/>
  <c r="S101" i="25"/>
  <c r="W100" i="25"/>
  <c r="V99" i="25"/>
  <c r="U99" i="25"/>
  <c r="T99" i="25"/>
  <c r="S99" i="25"/>
  <c r="W96" i="25"/>
  <c r="N96" i="25" s="1"/>
  <c r="O96" i="25"/>
  <c r="W90" i="25"/>
  <c r="N90" i="25" s="1"/>
  <c r="O90" i="25"/>
  <c r="W87" i="25"/>
  <c r="W76" i="25"/>
  <c r="W75" i="25"/>
  <c r="W74" i="25"/>
  <c r="W73" i="25"/>
  <c r="W72" i="25"/>
  <c r="W71" i="25"/>
  <c r="W70" i="25"/>
  <c r="V69" i="25"/>
  <c r="U69" i="25"/>
  <c r="T69" i="25"/>
  <c r="S69" i="25"/>
  <c r="W68" i="25"/>
  <c r="N68" i="25" s="1"/>
  <c r="O68" i="25"/>
  <c r="W67" i="25"/>
  <c r="N67" i="25" s="1"/>
  <c r="O67" i="25"/>
  <c r="AF66" i="25"/>
  <c r="W66" i="25"/>
  <c r="N66" i="25" s="1"/>
  <c r="O66" i="25"/>
  <c r="AF65" i="25"/>
  <c r="AE65" i="25"/>
  <c r="W63" i="25"/>
  <c r="N63" i="25" s="1"/>
  <c r="O63" i="25"/>
  <c r="W62" i="25"/>
  <c r="N62" i="25" s="1"/>
  <c r="O62" i="25"/>
  <c r="W61" i="25"/>
  <c r="W60" i="25"/>
  <c r="AF59" i="25"/>
  <c r="W59" i="25"/>
  <c r="W57" i="25"/>
  <c r="V56" i="25"/>
  <c r="U56" i="25"/>
  <c r="T56" i="25"/>
  <c r="S56" i="25"/>
  <c r="W55" i="25"/>
  <c r="W54" i="25"/>
  <c r="W53" i="25"/>
  <c r="V52" i="25"/>
  <c r="U52" i="25"/>
  <c r="T52" i="25"/>
  <c r="S52" i="25"/>
  <c r="AG50" i="25"/>
  <c r="AG48" i="25"/>
  <c r="W45" i="25"/>
  <c r="W44" i="25"/>
  <c r="W43" i="25"/>
  <c r="W42" i="25"/>
  <c r="W41" i="25"/>
  <c r="W40" i="25"/>
  <c r="W39" i="25"/>
  <c r="W38" i="25"/>
  <c r="W37" i="25"/>
  <c r="W36" i="25"/>
  <c r="W35" i="25"/>
  <c r="W34" i="25"/>
  <c r="W33" i="25"/>
  <c r="W32" i="25"/>
  <c r="W31" i="25"/>
  <c r="W30" i="25"/>
  <c r="W29" i="25"/>
  <c r="W28" i="25"/>
  <c r="O28" i="25"/>
  <c r="O69" i="25" l="1"/>
  <c r="O46" i="25"/>
  <c r="W99" i="25"/>
  <c r="P99" i="25" s="1"/>
  <c r="P28" i="25"/>
  <c r="W69" i="25"/>
  <c r="P69" i="25"/>
  <c r="W101" i="25"/>
  <c r="W56" i="25"/>
  <c r="P46" i="25" s="1"/>
  <c r="P63" i="25"/>
  <c r="P68" i="25"/>
  <c r="N28" i="25"/>
  <c r="W52" i="25"/>
  <c r="P62" i="25"/>
  <c r="P66" i="25"/>
  <c r="P67" i="25"/>
  <c r="P90" i="25"/>
  <c r="P96" i="25"/>
  <c r="N69" i="25" l="1"/>
  <c r="N46" i="25"/>
  <c r="P101" i="25"/>
</calcChain>
</file>

<file path=xl/comments1.xml><?xml version="1.0" encoding="utf-8"?>
<comments xmlns="http://schemas.openxmlformats.org/spreadsheetml/2006/main">
  <authors>
    <author>JUAN FELIPE SALCEDO</author>
    <author>Windows 10</author>
  </authors>
  <commentList>
    <comment ref="AH4" authorId="0" shapeId="0">
      <text>
        <r>
          <rPr>
            <b/>
            <sz val="9"/>
            <color indexed="81"/>
            <rFont val="Tahoma"/>
            <family val="2"/>
          </rPr>
          <t>JUAN FELIPE SALCEDO:</t>
        </r>
        <r>
          <rPr>
            <sz val="9"/>
            <color indexed="81"/>
            <rFont val="Tahoma"/>
            <family val="2"/>
          </rPr>
          <t xml:space="preserve">
Formula: Apropiacion definitiva / Registros acumulados</t>
        </r>
      </text>
    </comment>
    <comment ref="AJ4" authorId="0" shapeId="0">
      <text>
        <r>
          <rPr>
            <b/>
            <sz val="9"/>
            <color indexed="81"/>
            <rFont val="Tahoma"/>
            <family val="2"/>
          </rPr>
          <t>JUAN FELIPE SALCEDO:</t>
        </r>
        <r>
          <rPr>
            <sz val="9"/>
            <color indexed="81"/>
            <rFont val="Tahoma"/>
            <family val="2"/>
          </rPr>
          <t xml:space="preserve">
Apropiacion definitiva/pagos acumulados</t>
        </r>
      </text>
    </comment>
    <comment ref="O28" authorId="1" shapeId="0">
      <text>
        <r>
          <rPr>
            <b/>
            <sz val="9"/>
            <color indexed="81"/>
            <rFont val="Tahoma"/>
            <family val="2"/>
          </rPr>
          <t>REVISAR FORMULA</t>
        </r>
        <r>
          <rPr>
            <sz val="9"/>
            <color indexed="81"/>
            <rFont val="Tahoma"/>
            <family val="2"/>
          </rPr>
          <t xml:space="preserve">
</t>
        </r>
      </text>
    </comment>
    <comment ref="AE58" authorId="1" shapeId="0">
      <text>
        <r>
          <rPr>
            <sz val="9"/>
            <color indexed="81"/>
            <rFont val="Tahoma"/>
            <family val="2"/>
          </rPr>
          <t xml:space="preserve">Tambien esta relacionado en el reporte de gasto como apropiación inicial.
</t>
        </r>
      </text>
    </comment>
    <comment ref="G90" authorId="1" shapeId="0">
      <text>
        <r>
          <rPr>
            <sz val="14"/>
            <color indexed="81"/>
            <rFont val="Tahoma"/>
            <family val="2"/>
          </rPr>
          <t xml:space="preserve"> LA META NO SE ENCUENTRA PROGRAMANA PARA EL 2021</t>
        </r>
        <r>
          <rPr>
            <b/>
            <sz val="9"/>
            <color indexed="81"/>
            <rFont val="Tahoma"/>
            <family val="2"/>
          </rPr>
          <t xml:space="preserve">
R/ Se programa ya que en el 2020 no se logra ejecutar, es por ello que para el 2021 se reprograma.</t>
        </r>
      </text>
    </comment>
    <comment ref="M90" authorId="0" shapeId="0">
      <text>
        <r>
          <rPr>
            <b/>
            <sz val="9"/>
            <color indexed="81"/>
            <rFont val="Tahoma"/>
            <family val="2"/>
          </rPr>
          <t>JUAN FELIPE SALCEDO:</t>
        </r>
        <r>
          <rPr>
            <sz val="9"/>
            <color indexed="81"/>
            <rFont val="Tahoma"/>
            <family val="2"/>
          </rPr>
          <t xml:space="preserve">
no se cumplio en el 2020, por ello s eprograma para el 2021
</t>
        </r>
      </text>
    </comment>
    <comment ref="AI100" authorId="1" shapeId="0">
      <text>
        <r>
          <rPr>
            <b/>
            <sz val="9"/>
            <color indexed="81"/>
            <rFont val="Tahoma"/>
            <family val="2"/>
          </rPr>
          <t>VERIFICAR VALORES!!</t>
        </r>
        <r>
          <rPr>
            <sz val="9"/>
            <color indexed="81"/>
            <rFont val="Tahoma"/>
            <family val="2"/>
          </rPr>
          <t xml:space="preserve">
</t>
        </r>
      </text>
    </comment>
    <comment ref="S104" authorId="1" shapeId="0">
      <text>
        <r>
          <rPr>
            <b/>
            <sz val="9"/>
            <color indexed="81"/>
            <rFont val="Tahoma"/>
            <family val="2"/>
          </rPr>
          <t>Windows 10:</t>
        </r>
        <r>
          <rPr>
            <sz val="9"/>
            <color indexed="81"/>
            <rFont val="Tahoma"/>
            <family val="2"/>
          </rPr>
          <t xml:space="preserve">
promedio  me da 4%
R/ El promedio es sobre el avance de la ponderacion. E spor ello qure no la sumatoria de solo subrayar no te genera el promedio real.</t>
        </r>
      </text>
    </comment>
  </commentList>
</comments>
</file>

<file path=xl/sharedStrings.xml><?xml version="1.0" encoding="utf-8"?>
<sst xmlns="http://schemas.openxmlformats.org/spreadsheetml/2006/main" count="870" uniqueCount="267">
  <si>
    <t>EJE</t>
  </si>
  <si>
    <t>PROGRAMA</t>
  </si>
  <si>
    <t xml:space="preserve">SUBPROGRAMA </t>
  </si>
  <si>
    <t>Unidad de Medición</t>
  </si>
  <si>
    <t xml:space="preserve">Línea Base </t>
  </si>
  <si>
    <t>Meta Plan</t>
  </si>
  <si>
    <t>VIGENCIA:</t>
  </si>
  <si>
    <t>PLAN DE ACCION DEL SECTOR:</t>
  </si>
  <si>
    <t>Pond %</t>
  </si>
  <si>
    <t>INDICADOR</t>
  </si>
  <si>
    <t>TIPO DE META Incremento, Reducción o Mantenimiento</t>
  </si>
  <si>
    <t>PROGRAMACIÓN/EJECUCIÓN</t>
  </si>
  <si>
    <t>PROGRAMACION META</t>
  </si>
  <si>
    <t>AVANCE TRIMESTRAL DE ACTIVIDAD</t>
  </si>
  <si>
    <t>FECHA TERMINACIÓN DE LA ACTIVIDAD</t>
  </si>
  <si>
    <t xml:space="preserve">DESCRIPCIÓN DE EJECUCÍON </t>
  </si>
  <si>
    <t>MEDIOS DE VERIFICACIÓN</t>
  </si>
  <si>
    <t>PROYECTO</t>
  </si>
  <si>
    <t>RECURSOS</t>
  </si>
  <si>
    <t xml:space="preserve">SECRETARIA RESPONSABLE </t>
  </si>
  <si>
    <t>FUNCIONARIO (S) RESPONSABLE (S)</t>
  </si>
  <si>
    <t>OBSERVACIONES</t>
  </si>
  <si>
    <t>% DE EJECUCION TOTAL</t>
  </si>
  <si>
    <t>NOMBRE DE PROYECTO</t>
  </si>
  <si>
    <t>VIABILIADAD</t>
  </si>
  <si>
    <t>CODIGO</t>
  </si>
  <si>
    <t>NOMBRE</t>
  </si>
  <si>
    <t>APROPIACION INICIAL</t>
  </si>
  <si>
    <t>%</t>
  </si>
  <si>
    <t>Trim I</t>
  </si>
  <si>
    <t>Trim II</t>
  </si>
  <si>
    <t>Trim III</t>
  </si>
  <si>
    <t>Trim IV</t>
  </si>
  <si>
    <t>FILTROS</t>
  </si>
  <si>
    <t>BIENESTAR SOCIAL</t>
  </si>
  <si>
    <t>PAGOS ACUMULADOS</t>
  </si>
  <si>
    <t>CANTIDAD PROGRAMADA 2021</t>
  </si>
  <si>
    <t>AVANCE REAL 2021</t>
  </si>
  <si>
    <t>YUMBO EDUCADO</t>
  </si>
  <si>
    <t>Creemos en la infraestructura artística y cultural de Yumbo</t>
  </si>
  <si>
    <t>Número de equipamientos artísticos y culturales, mejorados y dotados.</t>
  </si>
  <si>
    <t>Creemos en un territorio de conservación y salvaguardia del patrimonio cultural de Yumbo</t>
  </si>
  <si>
    <t>Jornadas de Promoción del Patrimonio material e inmaterial, desarrolladas.</t>
  </si>
  <si>
    <t>Número de Instituciones educativas públicas, con socialización de la Ley de gestión, protección y salvaguarda del patrimonio cultural.</t>
  </si>
  <si>
    <t>Número de procesos de formación patrimonial, desarrollados.</t>
  </si>
  <si>
    <t>Creemos en la formación y capacitación artística y cultural de los Yumbeños</t>
  </si>
  <si>
    <t xml:space="preserve">Número de programas de formación técnica laboral de la escuela de artes integradas, creados. </t>
  </si>
  <si>
    <t xml:space="preserve">Número de talleres de formación artística, desarrollados. </t>
  </si>
  <si>
    <t xml:space="preserve">Número de procesos de fortalecimiento y promoción artística y cultural, implementados. </t>
  </si>
  <si>
    <t>Creemos en el fomento y la difusión artística y cultural para los Yumbeños</t>
  </si>
  <si>
    <t>Número de Encuentros Nacionales de Danzas, realizados.</t>
  </si>
  <si>
    <t xml:space="preserve">Número de Encuentros Nacionales de Intérpretes de Música Colombiana, realizados.  </t>
  </si>
  <si>
    <t>Número Encuentros Nacionales de Teatro, realizados.</t>
  </si>
  <si>
    <t>Número Encuentros de Bandas Músico Marciales, realizados.</t>
  </si>
  <si>
    <t>Número Estímulos para fomentar la economía naranja, otorgados.</t>
  </si>
  <si>
    <t>Número Programas con enfoque poblacional para la promoción, circulación artística y cultural, implementados.</t>
  </si>
  <si>
    <t>Plan Decenal de Cultura, actualizado.</t>
  </si>
  <si>
    <t>Número de Planes de economía naranja con enfoque territorial y poblacional, formulados e implementados.</t>
  </si>
  <si>
    <t>Número de Consejos municipales de Cultura, conformados.</t>
  </si>
  <si>
    <t>Convenio de cooperación internacional para el desarrollo y la promoción del talento cultural, implementado.</t>
  </si>
  <si>
    <t>Convocatoria de estímulos para la promoción de la creación artística y cultural, realizada.</t>
  </si>
  <si>
    <t>Creemos en espacios para el desarrollo de la creatividad: Bibliotecas y espacios para el crecimiento de los Yumbeños</t>
  </si>
  <si>
    <t>Servicios mejorados en las bibliotecas públicas encaminadas al programa nacional "Leer es mi cuento".</t>
  </si>
  <si>
    <t>Número de procesos de descentralización para fortalecer hábitos de lectura y escritura, desarrollados.</t>
  </si>
  <si>
    <t>Número de Concursos Municipales de Cuento Literario, desarrollados.</t>
  </si>
  <si>
    <t>Número</t>
  </si>
  <si>
    <t>MM</t>
  </si>
  <si>
    <t>MI</t>
  </si>
  <si>
    <t>N/A</t>
  </si>
  <si>
    <t>Realizar 3 mantenimiento preventivo y/o correctivo al sistema de aires acondicionados a crago del IMCY</t>
  </si>
  <si>
    <t>Diciembre</t>
  </si>
  <si>
    <t xml:space="preserve"> Adecuaciones del  1,  2 y 3 piso del edificio humedades, pintura y necesidades sanitarias.</t>
  </si>
  <si>
    <t>Enecrramiento del centro cultural de Yumbo</t>
  </si>
  <si>
    <t>Mejoramiento del desempeño de las  Redes de Telecomunicaciones  del IMCY</t>
  </si>
  <si>
    <t>Mejorar la vigilancia y monitoreo de la entidad mediante camaras de seguridad. Centro cultural</t>
  </si>
  <si>
    <t xml:space="preserve">Noviembre </t>
  </si>
  <si>
    <t>Desarrollar 1 actividad para la celebracion del mes del patrimonio. " 5ta Feria del patrimonio Yumbo"</t>
  </si>
  <si>
    <t>Realizar 1 Festival gostpel en el marco de la Semana Santa IMCY-2021 ()</t>
  </si>
  <si>
    <t>Realizar 1 actividad de conmemoracion del 20 de Julio</t>
  </si>
  <si>
    <t>Realizar 4 jornadas de sensibilización y promoción de museos, con el fin de unir lazos ancestrales y recuperar el tejido social del Municipio de Yumbo.</t>
  </si>
  <si>
    <t>Realizar 1 actividad de conmemoracion del 7 agosto.</t>
  </si>
  <si>
    <t>Agosto</t>
  </si>
  <si>
    <t>Realizar 13 actividades para la socializacion de la ley de gestion, proteccion y salvaguardia del patrimonio cultural En las instituciones educativas.</t>
  </si>
  <si>
    <t>Realizar 5 Procesos de capacitacion  sobre el patrimonio Cultural del Municipio de Yumbo con enfoque poblacional.</t>
  </si>
  <si>
    <t xml:space="preserve">Brindar apoyo institucional en el fortalecimiento y desarrollo de la formación tecnica laboral en interprentacion instrumental de la escuela de artes integradas. </t>
  </si>
  <si>
    <t>Desarrolla  1 programa tecnico laboral en Danza Contemporánea</t>
  </si>
  <si>
    <t>1. Desarrollar 2 Talleres Anual de Danza folclorica</t>
  </si>
  <si>
    <t>2. Desarrollar 2 Talleres anuales de Moderna</t>
  </si>
  <si>
    <t>3. Desarrollar 2 Talleres anuales de Percusion Antillana</t>
  </si>
  <si>
    <t>4. Desarrollar 2 Talleres anuales de Bateria</t>
  </si>
  <si>
    <t>5. Desarrollar 2 Talleres anuales de Flauta</t>
  </si>
  <si>
    <t>6. Desarrollar 2 Talleres anuales de Tecnica Vocal</t>
  </si>
  <si>
    <t>7. Desarrollar 2 Talleres anuales de Guitarra</t>
  </si>
  <si>
    <t>8. Desarrollar 2 Talleres anuales de Bajo</t>
  </si>
  <si>
    <t>9. Desarrollar 2 Talleres anuales de Trompeta</t>
  </si>
  <si>
    <t>10. Desarrollar 2 Talleres anuales de Saxofon y clarinete</t>
  </si>
  <si>
    <t>11. Desarrollar 2 Talleres anuales de Teatro</t>
  </si>
  <si>
    <t>12. Desarrollar 2 Talleres anuales de Organeta</t>
  </si>
  <si>
    <t>13. Desarrollar 2 Talleres anuales de Dibujo y Pintura</t>
  </si>
  <si>
    <t>14. Desarrollar 2 Talleres anuales de Violin</t>
  </si>
  <si>
    <t>15. Desarrollar 2 Talleres anuales de Preballet</t>
  </si>
  <si>
    <t>16. Desarrollar 2 Talleres anuales de Manualidades</t>
  </si>
  <si>
    <t>17. Desarrollar 2 Talleres anuales de Fotografia</t>
  </si>
  <si>
    <t>18. Desarrollar 2 Talleres anuales de percucion folclorica</t>
  </si>
  <si>
    <t>1, Desarrollar el 100% del procesos de fortalecimiento formativo mediante seguimiento y control.</t>
  </si>
  <si>
    <t>1,1 Realizar 4 jornadas de seguimiento y evaluacion para el proceso de formacion en artes integradas.</t>
  </si>
  <si>
    <t>1,2 Realizar 4 jornadas de seguimiento y evaluacion para el proceso de talles artisticos.</t>
  </si>
  <si>
    <t>2, Desarrollar el 100% del proceso de fortalecimento formativo mediante el garantizar insumos para la formacion de artes integradas y practicas artisticas.</t>
  </si>
  <si>
    <t>2,1 Realizar mantenimiento al 100% de instrumentos musicales y mobiliario que se prioricen.</t>
  </si>
  <si>
    <t>Mayo</t>
  </si>
  <si>
    <t>3 Desarrollar el 100% del proceso de promocion institucional en los procesos de formacion en artes integradas y practicas artisticas.</t>
  </si>
  <si>
    <t xml:space="preserve">3.1 Realizar 2 muestras artisticas para los estudiantes de los talleres de formacion </t>
  </si>
  <si>
    <t>Julio - Diciembre</t>
  </si>
  <si>
    <t>Realizar 1 Edición Especial Encuentro Nacionales de Danzas "Nuestra Tierra - IMCY 2021"</t>
  </si>
  <si>
    <t>Realizar Segunda Edición Especial Encuentro Nacionales de Intérpretes de Música Colombiana "Julio Cesar Garcia Ayala" 2021</t>
  </si>
  <si>
    <t>Noviembre</t>
  </si>
  <si>
    <t>Realizar el VIII Encuentro nacional de Teatro - IMCY 2021</t>
  </si>
  <si>
    <t>Realizar 1 Encuentro de Bandas Musico Marciales IMCY-2021</t>
  </si>
  <si>
    <t>Abril</t>
  </si>
  <si>
    <t>Realiza la Conformacion de 1 Empresa Cultural.</t>
  </si>
  <si>
    <t xml:space="preserve">1. Desarrollar el 100% del componente de Difusion y promocion Institucional </t>
  </si>
  <si>
    <t>1.1 Realizar 20 actualizaciones a las  carteleras Informativas institucionales del IMCY</t>
  </si>
  <si>
    <t>1.2  Realizar 44 actualizaciones a las  la pagina web institucional del IMCY.</t>
  </si>
  <si>
    <t xml:space="preserve">1.3. Emitr 50 boletines de prensa anuales </t>
  </si>
  <si>
    <t>1.4. Desarrollar 1 informe de evaluacion sobre la gestion de comunicacion del Instituto (Encuestas de Comunicacion aplicada en diferentes Actividades misionales)</t>
  </si>
  <si>
    <t>1.5 Apoyar 24 programas radiales (Noti-Cultural) donde se promociona los eventos y actividades de interés cultural del Municipio de Yumbo</t>
  </si>
  <si>
    <t>1.6 Realizar 36 acciones para la difusion de las actividades que desarrolla el instituto municipal de cultura.</t>
  </si>
  <si>
    <t>1,7. Realizar 3  comerciales para la promocion institucional.</t>
  </si>
  <si>
    <t>2, Desarrollar el 100% del componente de circulacion y promocion artistica y cultural.</t>
  </si>
  <si>
    <t>2,1 Generar 15 Espacios culturales para la circulacion de los artistas municipales (Ambiental, socio familiar y ciudadana)</t>
  </si>
  <si>
    <t>2,2 Apoyar  3 Encuentros de melomanos.</t>
  </si>
  <si>
    <t>2,3 Desarrollar 8 actividades de cultura ciudadana</t>
  </si>
  <si>
    <t>2,4 Desarrollar 1 actividad para promocionar la salsa en nuestro municipio (BAILALO)</t>
  </si>
  <si>
    <t>2,5 Desarrollar el  XV  Concurso Nacional de Danzas en Pareja - IMCY 2021</t>
  </si>
  <si>
    <t>Desarrollar 1 proceso artistico  para la reactivacion del sector Musical por medio de la activdad denominada cultura a la comuna IMCY-2021</t>
  </si>
  <si>
    <t>Desarrollar 1 plan de economia naranja para los yumbeños.</t>
  </si>
  <si>
    <t>Realizar 1 convocatoria de estimulos "Creemos en la reactivacion cultural IMCY 2021 "</t>
  </si>
  <si>
    <t>1/ Fortalecer el 100 % del servicio de Préstamo externo y Consulta en sala</t>
  </si>
  <si>
    <t>1,1 Realizar sensibilización permanente a los usuarios sobre el cuidado de los libros y herramientas de consulta bibliotecaria.</t>
  </si>
  <si>
    <t>1. Desarrollar  2 actividad para la promocion de lectura  en la primera infancia</t>
  </si>
  <si>
    <t>1.1 Realizar 9 actividades de "goticas de lectura" en la biblioteca</t>
  </si>
  <si>
    <t>1.2 Realizar 9 actividades de "Visitas guiadas" en la biblioteca</t>
  </si>
  <si>
    <t>2, Mantener las actividades de lectura estipúladas por el programa nacional de lectura "Leer es mi cuento"</t>
  </si>
  <si>
    <t xml:space="preserve">2.1 Realizar 9 actividades de "Lectura en voz alta" </t>
  </si>
  <si>
    <t>2.2 Realizar 9 actividades de "La hora del cuento" en la biblioteca.</t>
  </si>
  <si>
    <t>2,3. Desarrollar 3 Jornadas de Tertulias Literaria</t>
  </si>
  <si>
    <t>2,4. Desarrollar 1 actividad para la celebracion del  Dia del idioma y dia internaconal del libro y derechos de autor</t>
  </si>
  <si>
    <t>2,5 Realizar 1 actividad de vacaciones creativas fin de año.</t>
  </si>
  <si>
    <t>3 Desarrollar  5 servicios continuos, dirigidos a facilitar el acceso a la informacion academica y de ocio  mediante recursos  fisicos y digitales</t>
  </si>
  <si>
    <t xml:space="preserve"> Desarrollar el 25 Concurso anual del cuento literario. </t>
  </si>
  <si>
    <t xml:space="preserve">Cubrir el 100% de las mejoras necesarias requeridas por el Instituto para su funcionalidad (daños ocasionales y reparaciones locativas necesarias no programadas) </t>
  </si>
  <si>
    <t>Fortalecimiento de la diversidad de expresiones culturales y la economía creativa mediante estrategias de Fomento y Difusión  artística y cultural del Municipio de Yumbo.</t>
  </si>
  <si>
    <t>Adecuación, Dotación  y  Mantenimiento de la Infraestructura  artística y cultural generando desarrollo y fortalecimiento de todas las actividades culturales del Municipio de Yumbo.</t>
  </si>
  <si>
    <t>Implementación  de estrategias  de formación y capacitación artística y cultural para la reconstrucción del tejido social del Municipio de Yumbo</t>
  </si>
  <si>
    <t>Fortalecimiento de las estrategias de la Biblioteca Pública Municipal para garantizar el libre acceso a la información y a la lectura en la comunidad del Municipio de Yumbo</t>
  </si>
  <si>
    <t>Implementar estrategias para la Gestión, protección y salvaguardia del patrimonio cultural  material e inmaterial del Municipio De Yumbo.</t>
  </si>
  <si>
    <t>04.33.3301.1603.3301068.200036.2.3.3.05.09.001.08</t>
  </si>
  <si>
    <t>RP. Entidades del gobierno general</t>
  </si>
  <si>
    <t>04.33.3301.1603.3301068.200036.2.3.3.05.09.001.09</t>
  </si>
  <si>
    <t>EST. Entidades del gobierno general</t>
  </si>
  <si>
    <t>04.33.3301.1603.3301068.200036.2.3.3.05.09.001.12</t>
  </si>
  <si>
    <t>RP.SDO/2020 Entidades del gobierno general</t>
  </si>
  <si>
    <t>04.33.3302.1603.3302049.200037.2.3.3.05.09.001.10</t>
  </si>
  <si>
    <t>04.33.3302.1603.3302049.200037.2.3.3.05.09.001.15</t>
  </si>
  <si>
    <t>04.33.3301.1603.3301087.200034.2.3.3.05.09.001.14</t>
  </si>
  <si>
    <t>04.33.3301.1603.3301087.200034.2.3.3.05.09.001.05</t>
  </si>
  <si>
    <t>04.33.3301.1603.3301053.200033.2.3.3.05.09.001.03</t>
  </si>
  <si>
    <t>04.33.3301.1603.3301053.200033.2.3.3.05.09.001.01</t>
  </si>
  <si>
    <t>SGPCUL.Entidades del gobierno general</t>
  </si>
  <si>
    <t>04.33.3301.1603.3301053.200033.2.3.3.05.09.001.02</t>
  </si>
  <si>
    <t>04.33.3301.1603.3301053.200033.2.3.3.05.09.001.11</t>
  </si>
  <si>
    <t>04.33.3301.1603.3301071.200033.2.3.3.05.09.001.04</t>
  </si>
  <si>
    <t>04.33.3301.1603.3301085.200054.2.3.3.05.09.001.06</t>
  </si>
  <si>
    <t>04.33.3301.1603.3301085.200054.2.3.3.05.09.001.07</t>
  </si>
  <si>
    <t>EST.Entidades del gobierno general</t>
  </si>
  <si>
    <t>04.33.3301.1603.3301085.200054.2.3.3.05.09.001.13</t>
  </si>
  <si>
    <t>IMCY</t>
  </si>
  <si>
    <t>Pablo Daniel Patiño Quijano</t>
  </si>
  <si>
    <t>05.33.3301.1603.3301087.200034.2.3.2.02.02.009.33.01.01.01</t>
  </si>
  <si>
    <t>RA. 91124. Servicios de la aministración pública relacionados con la recreación, la cultura y la religión</t>
  </si>
  <si>
    <t xml:space="preserve"> INFORME DE SUPERVISION Y SEGUIMIENTO DE CONTRATOS DE PRESTACIÓN DE SERVICIOS 
FO-GH-06
</t>
  </si>
  <si>
    <t>julio</t>
  </si>
  <si>
    <t>Octubre</t>
  </si>
  <si>
    <t>Julio</t>
  </si>
  <si>
    <t>Diembre</t>
  </si>
  <si>
    <t>3,2 Desarrollar 2 procesos de extencion de talleres para la promocion Artistica y cultural (Banda sinfonica - Banda Musico Marcial)</t>
  </si>
  <si>
    <t xml:space="preserve"> INFORME DE SUPERVISION Y SEGUIMIENTO DE CONTRATOS DE PRESTACIÓN DE SERVICIOS 
FO-GH-06</t>
  </si>
  <si>
    <t>Se Establecieron Diagnoticos en la programacion de la modalidad artistica para el semestre, generando estrategias digitales y/o virtuales para el desarrollo de este taller artistico, y garantizar inscripciones.</t>
  </si>
  <si>
    <t>Esta actividad se compone de la actividad 1,1 y 1,2</t>
  </si>
  <si>
    <t>Esta actividad se compone de la actividad 2,1 y 2,2 y 2,3</t>
  </si>
  <si>
    <t>2,2 Dotación de mobiliario para la formacion y capacitacion artitstica que lo requieran.</t>
  </si>
  <si>
    <t>2,3 Realizar 1 dotacion de instrumentos musicales a los programas y procesos de formacion artisticos que lo requiera.</t>
  </si>
  <si>
    <t>Se realiza planeacion y programacion de actividades para el cumplimiento de las actividades de Talleres establecidos por los planes proyectos y programas institucionales.</t>
  </si>
  <si>
    <t>Se realiza planeacion y programacion de actividades para el cumplimiento de las actividades de Escuela establecidos por los planes proyectos y programas institucionales.</t>
  </si>
  <si>
    <t>3.3 Realizar 1 actividad para el encuentro de egresados.</t>
  </si>
  <si>
    <t>3.4 Realizar 1 Audicion  artisticas para los estudiantes de la Escuela de Artes Integradas.</t>
  </si>
  <si>
    <t>2021-768920043
   2021-768920043-1</t>
  </si>
  <si>
    <t>2021-768920051
2021-768920051-1</t>
  </si>
  <si>
    <t>2021-768920046
2021-768920046-1</t>
  </si>
  <si>
    <t>2021-768920050
2021-768920050-1</t>
  </si>
  <si>
    <t>2021-768920045
2021-768920045-1</t>
  </si>
  <si>
    <t>EJECUCION TRIMESTRE III DE META</t>
  </si>
  <si>
    <t>TOTAL</t>
  </si>
  <si>
    <t>Se desarrollaron labores de diagnostico general para l ageneracion de actividades de rehabilitacion, mejoramiento y manteniemintos correctivos y preventivos de la insfraestructura artistica y cultural, se genrearon diferentes actividades de resane, dentro de ellas tercer piso todos los salones, arreglos pertinentes a medidas de bioseguridad. y mantenimiento general a la infraestructura de la biblioteca publica municipal ubicada en la carrera 5 y la sede de las cruces</t>
  </si>
  <si>
    <r>
      <t xml:space="preserve">Se desarrollaron actividades de programacion y planeacion para la ejecucion de las actividades pertinentes para la vigencia .
Capacitación en la Ley 1185 de 2008 donde se habla de Patrimonio Cultural de una Nación. Al igual se habla de Patrimonio Arqueológico, Patrimonio Material, Patrimonio Inmaterial y Patrimonio Arqueológico. 
</t>
    </r>
    <r>
      <rPr>
        <b/>
        <sz val="10"/>
        <color theme="1"/>
        <rFont val="Arial"/>
        <family val="2"/>
      </rPr>
      <t xml:space="preserve">Descripcionn de la actividad: </t>
    </r>
    <r>
      <rPr>
        <sz val="10"/>
        <color theme="1"/>
        <rFont val="Arial"/>
        <family val="2"/>
      </rPr>
      <t xml:space="preserve">Se envía la Ley del Patrimonio 1185 por WhatsApps a todos los estudiantes y que ademá de conocerla, que sepan que existe una Ley que protege nuestro Patrimonio. Los estudiantes tienen una responsabilidad como ciudadanos de Proteger, Salvaguardar, Recuperar, Sotener, Conservar y Divulgar el Patrimonio del Municipio de Yumbo.
</t>
    </r>
    <r>
      <rPr>
        <b/>
        <sz val="10"/>
        <color theme="1"/>
        <rFont val="Arial"/>
        <family val="2"/>
      </rPr>
      <t xml:space="preserve">Ejecutadas:
1/ Socialización de la Ley 1185 de 2008 protección y salvaguardia del Patrimonio Cultural para 27 colegios.
2/ Abril 23 Ley Patrimonio
3/ Junio 21 Ley Patrimonio
</t>
    </r>
  </si>
  <si>
    <r>
      <t xml:space="preserve">Se desarrollaron actividades de programacion y planeacion para la ejecucion de las actividades pertinentes para la vigencia.
</t>
    </r>
    <r>
      <rPr>
        <b/>
        <sz val="10"/>
        <color theme="1"/>
        <rFont val="Arial"/>
        <family val="2"/>
      </rPr>
      <t>Actividades Desarrolladas.</t>
    </r>
    <r>
      <rPr>
        <sz val="10"/>
        <color theme="1"/>
        <rFont val="Arial"/>
        <family val="2"/>
      </rPr>
      <t xml:space="preserve">
1</t>
    </r>
    <r>
      <rPr>
        <b/>
        <sz val="10"/>
        <color theme="1"/>
        <rFont val="Arial"/>
        <family val="2"/>
      </rPr>
      <t>/ Capacitación Historia de Yumbo:</t>
    </r>
    <r>
      <rPr>
        <sz val="10"/>
        <color theme="1"/>
        <rFont val="Arial"/>
        <family val="2"/>
      </rPr>
      <t xml:space="preserve">El objetivo es empezar a tejer la historia de Yumbo en una Línea de Tiempo. Donde se marquen las diferentes èpocas vividas en pro de la recuperaciòn de la memoria històtica del municipio.
</t>
    </r>
    <r>
      <rPr>
        <b/>
        <sz val="10"/>
        <color theme="1"/>
        <rFont val="Arial"/>
        <family val="2"/>
      </rPr>
      <t xml:space="preserve">2/Cuentos  para Colegios: </t>
    </r>
    <r>
      <rPr>
        <sz val="10"/>
        <color theme="1"/>
        <rFont val="Arial"/>
        <family val="2"/>
      </rPr>
      <t xml:space="preserve">Enviar cuentos a los colegios para que sean socializados con los estudiantes.,Se envía a los Profesores, coordinadores, rectores u Orientadores los temas pertinentes que tienen que ver con cuentos para socializar con los estudiantes. Estos a su vez lo envían a los Estudiantes y Padres de Familia. La idea es acercar a la lectura a los estudiantes, sabiendo que por esta época no hay bibliotecas abiertas y que adquirir un cuento es costoso.
</t>
    </r>
    <r>
      <rPr>
        <b/>
        <sz val="10"/>
        <color theme="1"/>
        <rFont val="Arial"/>
        <family val="2"/>
      </rPr>
      <t>3/Pintando la Historia:</t>
    </r>
    <r>
      <rPr>
        <sz val="10"/>
        <color theme="1"/>
        <rFont val="Arial"/>
        <family val="2"/>
      </rPr>
      <t>Enviar dibujos para que los estudiantes pinten y dibujen la historia del municipio de Yumbo. Se envía a los Profesores, coordinadores, rectores u Orientadores los temas pertinentes a pintar semanalmente. Estos a su vez reenvìan a sus estudiantes.</t>
    </r>
    <r>
      <rPr>
        <b/>
        <sz val="10"/>
        <color theme="1"/>
        <rFont val="Arial"/>
        <family val="2"/>
      </rPr>
      <t xml:space="preserve">
</t>
    </r>
  </si>
  <si>
    <t>Se realiza planeacion y programacion de acciones y PEI con el fin de garantizar clases en modalidad  alternancia para la formacion tecnica laboral. Se llevo acabo el desarrollo de los semestres 2 y 4 donde se logra el desarrollo de clases virtuales al inicio del semestre  y despues se procede a la alternancia. con el fin de garantizar a parte practica y la buena ejecucion del programa PEI, se graduan 11 alumnos.</t>
  </si>
  <si>
    <t>Se realiza convocatoria de estimulos creemos en la reactivacion cultura, donde se inicia con la socializacion de los diferentes manuales y procedimientos para la respectiva presentacion de los proyectos de parte d elos participantes.</t>
  </si>
  <si>
    <t>Resolucion convocatoria, manual convocatoria</t>
  </si>
  <si>
    <t>Se realiza concierto gospel donde participaln diferentes iglesias y cultos religiosos del municipio, con el fin de garantizar incluios y lograr extendernos con la participacion ciudadana. Esta se realiza de forma virtual en las instalacioes de instituto Municipal de Cultura de Yumbo.</t>
  </si>
  <si>
    <t>Evidencia fotograficas y grabacion en  redes sociales IMCY, Expedinete contractual</t>
  </si>
  <si>
    <t xml:space="preserve">Cumplimiento del cronograma trazado para los dos semestres  del año 2021 en su pensum académico de los semestres 2° y 4°, 1 y 3, finalizando cada semestre se debe de realizar las audiciones una en julio y la otra en diciembre,DESCRIPCION DE LA ACTIVIDAD En cada semestre se debe de realizar una audicion donde los estudiantes de 1,2,3,4  muestra, su trabajo realizado durante el periodo academico, con cada uno de sus maestros 
LUGAR DE LA ACTIVIDAD Auditorio del  Instituto Municipal de Cultura
FECHA DE LA ACTIVIDAD  12 de julio -2021 HORA DE LA ACTIVIDAD 5:00 PM
</t>
  </si>
  <si>
    <t xml:space="preserve">NOMBRE DE LA ACTIVIDAD  Actualización de carteleras informativas Institucionales del IMCY 
OBJETIVO DE LA ACTIVIDAD Informar eventos y actividades por medio de boletines, flayers,  circulares, entre otras 
DESCRIPCION DE LA ACTIVIDAD Reemplazar la información de las carteleras las cuales constan de: Boletines, flayers, circulares, entre otras.
(febrero) Durante el mes se publicaron 2  boletines de prensa con información actual de eventos  
(Marzo) Durante el mes se publicaron 7  boletines de prensa con información actual de eventos  
(Abril) Durante el mes se publicaron 3 boletines de prensa con información actual de eventos  
Mayo, Boletín 13 Botón PSE        
Mayo, Boletín 14 Aplazamiento del concurso de Danza en Parejas
Junio, Boletin 15, Inscripciones de Escuela de artes Integradas        
Junio, Boletín 16 Convocatiria Estímulos
Junio, Boletín 17 Inscripción Talleres de Formación Artística 
Junio, Boletín 18 Nueva fecha de Concurso de Danza por Parejas
Junio, Afiche actualizado del Concurso de Danza en Parejas
LUGAR DE LA ACTIVIDAD Entrada del IMCY, primer piso, segundo piso y tercer piso.  
</t>
  </si>
  <si>
    <t>Ficha FO-GA18</t>
  </si>
  <si>
    <t xml:space="preserve">OBJETIVO DE LA ACTIVIDAD  Mantener la página Web y redes de la entidad actualizada con información concerniente a eventos y actividades del IMCY     
DESCRIPCION DE LA ACTIVIDAD Estar en constante actualización de la página Web y redes  de la entidad en lo concerniente a: Información de los Boletines, flayers, circulares, entre otras. 
LUGAR DE LA ACTIVIDAD  Sitio Web www.imcy.gov.co 
Durante los meses de Febrero a Abril del 2021 realizaron 4  cambios en piezas publicitarias del Banner de la Pagina Web  y subió información en el Link de Noticias con  información actual de los eventos y noticias de la entidad. (12 Boletines de prensa). 
Durante el mes de mayo se realizó 2 cambios, mes de Junio del 2021 se  realizaron 2  cambios en piezas publicitarias del Banner de la Pagina Web  y subió información en el Link de Noticias con  información actual de los eventos y noticias de la entidad. (6 Boletines de prensa de Mayo a Junio).  
</t>
  </si>
  <si>
    <t xml:space="preserve">OBJETIVO DE LA ACTIVIDAD  Realizar boletines de prensa con el fin de mantener  informada la comunidad del Municipio de Yumbo sobre los eventos y programas que promueve la entidad 
DESCRIPCION DE LA ACTIVIDAD Estar sacando constantemente boletines de prensa con información concerniente a la entidad para ser enviados  a los diferentes medios de comunicación, carteleras, página web y redes sociales con que cuenta la entidad.
LUGAR DE LA ACTIVIDAD  Carteleras, Sitio Web www.imcy.gov.co , Redes Sociales y Medios de Comunicación   
Febrero se realizaron 2 boletines de prensa con información actual de los eventos y noticias de la entidad.        
Marzo se realizaron 7 boletines de prensa con información actual de los eventos y noticias de la entidad.        
Abril se realizaron 3 boletines de prensa con información actual de los eventos y noticias de la entidad.        
Mayo, Boletín 13 Botón PSE        
Mayo, Boletín 14 Aplazamiento del concurso de Danza en Parejas
Junio, Boletin 15, Inscripciones de Escuela de artes Integradas        
Junio, Boletín 16 Convocatiria Estímulos
Junio, Boletín 17 Inscripción Talleres 
Junio, Boletín 18 Nueva fecha de Concurso de Danza por Parejas
</t>
  </si>
  <si>
    <t xml:space="preserve">OBJETIVO DE LA ACTIVIDAD  Realizar piezas publicitarias que permitan una mejor promoción de los eventos y actividades del IMCY   
DESCRIPCION DE LA ACTIVIDAD Sacar piezas publicitarias con buena calidad de imagen y resolución las cuales se montan en la Página Web y Redes Sociales y algunas se imprimen
LUGAR DE LA ACTIVIDAD Carteleras, Sitio Web www.imcy.gov.co , Redes Sociales y Medios de Comunicación   
(Febrero) Se realizaron 3 piezas publicitarias que promosionan eventos y noticias de la entidad.  
(Marzo) Se realizaron 4 piezas publicitarias que promosionan eventos y noticias de la entidad.  
(Abril) Se realizaron 13 piezas publicitarias que promosionan eventos y noticias de la entidad.  
Mayo 29 piezas publicitarias; Noticultural en la web 1, fechas conmemorativas 9, Yumbo ilustrado 4, piezas informativas 5, piezas de Municipalidad 3, Cultura ciudadana 2, Jueves de Patrimonio 3, Concurso danza en parejas 1, Biblioteca Municipal 1.
Junio 44  piezas publicitarias; Noticultural en la web 2, Noticultural  fechas conmemorativas 5, Yumbo ilustrado 4, piezas informativas 6, Cultura ciudadana 3, Jueves de Patrimonio 4, Concurso danza en parejas 2, Biblioteca Municipal 6, Reactivación Cultural 6, Conversando con el IMCY 2, Escuela de Música 1, Talleres de Formación Artística 3
</t>
  </si>
  <si>
    <t xml:space="preserve">OBJETIVO DE LA ACTIVIDAD  Realizar comerciales en video que permitan la promoción de los eventos más importantes que realiza la entidad 
DESCRIPCION DE LA ACTIVIDAD Sacar comerciales publicitarios que tengan  buena calidad de imagen  para montan el la Pagina Web y Redes Sociales y enviara los medios de comunicación 
LUGAR DE LA ACTIVIDAD  Sitio Web www.imcy.gov.co , Redes Sociales y Medios de Comunicación   
Febrero Video emotivo del IMCY 
Marzo realizacion video campaña Cultura ciudadana espacios discapacitados CCY
Marzo se realizo video de la rendicion de cuentas de la vigencia 2020
Marzo Se realizo comercial que promociona el XV Concurso Nacional de Danza en Pareja IMCY 2021
En Mayo no se realizaron comerciales
En Junio no se realizaron comerciales
</t>
  </si>
  <si>
    <t>Con el fin de generar cumplimiento a la estrategia del plan decenal de cultura se generan las siguinetes Actividades:
1/ NOMBRE DE LA ACTIVIDAD
Día del Árbol OBJETIVO DE LA ACTIVIDAD
Fortalecimiento de la diversidad de expresiones culturales y la economía creativa mediante estrategias de Fomento y Difusión artística y cultural del Municipio de Yumbo. DESCRIPCION DE LA ACTIVIDAD
Celebrar el día del árbol también hace parte de nuestra cultura ambiental. Promovamos la protección de nuestro medio ambiente y la arborización de nuestro espacios. LUGAR DE LA ACTIVIDAD
Comuna 4 y barrio Lleras - Centro Cultural de Yumbo
-Jornada de embellecimiento con articulación de la UMATA, donde se realizó actividad de cultura ambiental la siembra de árboles frutales y plantas ornamentales en el Centro Cultural de Yumbo
2/NOMBRE DE LA ACTIVIDAD
Celebración día del niño “NO AL TRABAJO INFANTIL” OBJETIVO DE LA ACTIVIDAD
Fortalecimiento de la diversidad de expresiones culturales y la economía creativa mediante estrategias de Fomento y Difusión artística y cultural del Municipio de Yumbo. DESCRIPCION DE LA ACTIVIDAD
Sensibilización de la población infantil, con el objetivo de fortalecer el comportamiento cívico y ciudadano enfatizando en temáticas de promoción al NO TRABAJO INFANTIL LUGAR DE LA ACTIVIDAD
Comuna 4 y barrio Lleras - Centro Cultural de Yumbo
Hra. Inicio Hra. Fin Actividad
3:00 pm
3:30 pm
Iniciando esta actividad se realiza la entrega de un kit de bioseguridad para el cuidado y la protección de los niños adicional se le hace entrega de unos tickets para reclamar un kit escolar y su respectivo refrigerio.
3:30 pm
5:00 pm
Juegos tradicionales con material reciclable: Atreves de estos juegos tradicionales elaborados con material reciclable y mediante la lúdica los niños tengan conocimiento de valores culturales como la importancia del buen uso del material reciclable.
3:30 pm
5:00 pm
Brinca brinca e inflables: actividad de esparcimiento y complemento del goce y disfrute a través de la estrategia jugando aprendo. (Convivencia)
3/NOMBRE DE LA ACTIVIDAD
Actividad lúdica creativa de Cultura Ciudadana OBJETIVO DE LA ACTIVIDAD
Fortalecimiento de la diversidad de expresiones culturales y la economía creativa mediante estrategias de Fomento y Difusión artística y cultural del Municipio de Yumbo. DESCRIPCION DE LA ACTIVIDAD
Sensibilización de la población infantil, con el objetivo de fortalecer el comportamiento cívico y ciudadano enfatizando en la lúdica creativa. LUGAR DE LA ACTIVIDAD
Comuna 4 y barrio Lleras - Centro Cultural de Yumbo
Hra. Inicio Hra. Fin Actividad
3:00 pm
3:30 pm
Iniciando esta actividad se realiza la entrega de un kit de bioseguridad para el cuidado y la protección de los niños adicional se le hace entrega de unos tickets para reclamar un kit escolar y su respectivo refrigerio.
3:30 pm
5:00 pm
Juegos tradicionales con material reciclable: Atreves de estos juegos tradicionales elaborados con material reciclable y mediante la lúdica los niños tengan conocimiento de valores culturales como la importancia del buen uso del material reciclable.
3:30 pm
5:00 pm
Brinca brinca e inflables: actividad de esparcimiento y complemento del goce y disfrute a través de la estrategia jugando aprendo. (Convivencia)</t>
  </si>
  <si>
    <t xml:space="preserve">NOMBRE DE LA ACTIVIDAD  Sensibilizacion cuidado de los libros y herramientas de consulta bibliotecaria.
OBJETIVO DE LA ACTIVIDAD La Biblioteca publica municipal tiene como mision brindar y ofrecer servicios y recursos que se encuentren en optimas condiciones a los usuarios en general del municipio de Yumbo, Con el fin de impactar positivamente a la sociedad, llegando a diferentes segmentos como lo son Adultos, jovenes y niños de la poblacion que desee hacer uso de las instalaciones en beneficio personal y general, capacitar a todos los usuarios de manera adecuada para que manejen apropiadamente el material bibliografico y todos los recursos que se encuentren dentro de las instalaciones.
DESCRIPCION DE LA ACTIVIDAD Esta actividad se realiza con el fin de impactar a toda la comunidad del municipio de Yumbo, con el objetivo de proporcionarle a la poblacion los conocimientos necesarios sobre el correcto manejo y cuidado de los libros y asimismo el de las herramientas que se encuentran en las instalaciones de la biblioteca.
LUGAR DE LA ACTIVIDAD Biblioteca Publica Municipal de Yumbo
- VIDEO SENSIBILIZACION CUIDADO DE LIBROS (FAN PAGE IMCY) 
</t>
  </si>
  <si>
    <t xml:space="preserve">Se desempeñaron labores de planeacion para la ejecucion de la actividad de forma virtual.
NOMBRE DE LA ACTIVIDAD  GOTICAS DE LECTURA
OBJETIVO DE LA ACTIVIDAD La Biblioteca publica municipal de Yumbo tiene como mision brindar y ofrecer servicios y recursos que impacten positivamente a los niños, jovenes y adultos, Pero debido a la emergencia sanitaria actual, se buscara influir a una gran cantidad de comunidad mediante los recursos tecnologicos como los son redes sociales para que la poblacion de primera infancia se sensibilize sobre la importancia de la lectura.
DESCRIPCION DE LA ACTIVIDAD Esta actividad sera dirigida a los niños y niñas de la primera infancia, donde se vendran realizando lecturas virtuales con el fin de garantizar, insentivar  y crear un habito de lectura en nuestros niños y niñas, compartiendo en familia nuevos mundos por descubrir mediante un libro.
LUGAR DE LA ACTIVIDAD Biblioteca Publica Municipal de Yumbo
Goticas de Lectura “La liebre y la tortuga” (Fan page Imcy) (21/06/2021) 
Goticas de Lectura “El tigre y el raton” (Fan page Imcy) (08/06/2021)
</t>
  </si>
  <si>
    <t xml:space="preserve">Se desempeñaron labores de planeacion para la ejecucion de la actividad de forma virtual.
</t>
  </si>
  <si>
    <t xml:space="preserve">Se desempeñaron labores de planeacion para la ejecucion de la actividad de forma virtual.
OBJETIVO DE LA ACTIVIDAD La Biblioteca publica municipal tiene como mision brindar y ofrecer servicios y recursos que se encuentren en optimas condiciones a los usuarios en general del municipio de Yumbo, Con el fin de impactar positivamente a la sociedad, cuando los adultos insentivan en sus hijos habitos de lectura desde muy temprana edad se forman adultos responsables, con carácter, emocionalmente estables y creativos, ayudando a su formacion cognitiva y profesional.
DESCRIPCION DE LA ACTIVIDAD El cuento es una actividad didáctica llena de sentido que hay que planificar cuidadosamente. 
Si la llevamos a cabo convenientemente, ayudaremos al niño o el joven a introducirse en un mundo lleno de posibilidades que le llevará a ampliar su conocimiento y a desarrollar su imaginación. Los cuentos nos sirven para: 
• Inventarnos nuevos mundos 
• Jugar con las palabras 
• Conocer o imaginar nuevos personajes 
• Soñar despiertos 
• Divertirnos 
• Potenciar el pensamiento de una forma creativa.
Hora del Cuento “Violet y Finch”  (29/05/2021)
Hora del Cuento “ Tertulias de antaño” (28/06/2021)
</t>
  </si>
  <si>
    <t xml:space="preserve">OBJETIVO DE LA ACTIVIDAD La Biblioteca publica municipal de Yumbo tiene como objetivo, celebrar la semana del idioma con el fin de resaltar no solo la importancia de este, sino de enaltecer el trabajo de todos esos escritores que dejan nuestra española en alto, insentivando a la comunidad y en especial a los niños y jovenes a interesarse mas por la lectura y escritura, con el fin de que sean futuros escritores y lectores que dejen en alto el nombre de nuestro municipio.
DESCRIPCION DE LA ACTIVIDAD La semana del idioma es de suma importancia no solo para nuestro pais, sino para el mundo entero esta celebración se da con el fin de enaltecer los idiomas oficiales, desde su historia, cultura y sus usos. Esta fecha busca a su vez promover el gusto por la lectura y la correcta escritura de este idioma e incentivar a toda la poblacion profundizar en el maravillosos mundo de la lectura y escritura.
-Video invitacion a la semana del idioma publicado en la fan page Imcy (19/04/2021)
-Video Picni Literario “ El renacuajo paseador” (21/04/2021)
</t>
  </si>
  <si>
    <t xml:space="preserve">APROPIACION DEFINITIVA TRIM </t>
  </si>
  <si>
    <t xml:space="preserve">REGISTROS TRIM </t>
  </si>
  <si>
    <t>04.33.3301.1603.3301068.200036.2.3.3.05.09.001.18</t>
  </si>
  <si>
    <t xml:space="preserve">ESP.PUB SDO/2020 Entidades del gobierno </t>
  </si>
  <si>
    <t>04.33.3301.1603.3301053.200033.2.3.3.05.09.001.16</t>
  </si>
  <si>
    <t>EST.SDO/2020 Entidades del gobierno General</t>
  </si>
  <si>
    <t>04.33.3301.1603.3301053.200033.2.3.3.05.09.001.17</t>
  </si>
  <si>
    <t>04.33.3301.1603.3301071.200033.2.3.3.05.09.001.19</t>
  </si>
  <si>
    <t>EST.SDO/2020 Entidades del gobierno general</t>
  </si>
  <si>
    <t>Se Ejecutaron tareas de acondicionamiento de espacios adecuados y limpios, con el fin de garantizar y prestar  los servicios bibliotecario,
Se realizan labores de reactivacion , Donde  se generan actividades de apertura de la  biblioteca publica municipal y se acondicionan, se establecen todas las medidas y elementos de bioseguridad., donde se cocientiza al personal bibliotecario para los cuidados y recomendaciones que se deben tener en cuenta al momento de atencion con la comunidad.</t>
  </si>
  <si>
    <t>04.33.3301.1603.3301087.200034.2.3.3.05.09.001.20</t>
  </si>
  <si>
    <t>Acceso sin barreras a la infraestructura artística y cultural</t>
  </si>
  <si>
    <t>Promover la identidad y el sentido de pertenencia de la ciudadania yumbeña</t>
  </si>
  <si>
    <t>Formacion Tecnica laboral  en Artes integradas</t>
  </si>
  <si>
    <t>Educacion artistica para tiempo de ocio.</t>
  </si>
  <si>
    <t>Generando Arte y Cultura, a nivel regional y nacional.</t>
  </si>
  <si>
    <t>Enriquecimiento intelectual de los Ciudadanos.</t>
  </si>
  <si>
    <t xml:space="preserve">Se desempeñaron labores de planeacion para la ejecucion de la actividad de forma virtual.
OBJETIVO DE LA ACTIVIDAD La Biblioteca publica municipal tiene como mision brindar y ofrecer servicios y recursos que se encuentren en optimas condiciones a los usuarios en general del municipio de Yumbo, Con el fin de impactar positivamente a la sociedad, llegando a diferentes segmentos como lo son Adultos, jovenes y niños de la poblacion que desee hacer uso de las instalaciones en beneficio personal y general.
DESCRIPCION DE LA ACTIVIDAD Es una actividad social que permite a través de la entonación, pronunciación,ritmo y volumen de la voz darle vida y significado a un texto escrito para que la persona que escuche pueda sonar, imaginar o exteriorizar sus emociones y sentimientos. Esta actividad va dirigida a toda la comunidad  y poblacion estudiantil del municipio, a los asistentes de la sala infantil, de manera aleatoria o a solicitud de los niños o jovenes asistentes.
LUGAR DE LA ACTIVIDAD Biblioteca Publica Municipal de Yumbo
Lectura en Voz alta “Choko encuentra una mamá” (Fan page Imcy) (16/06/2021)
Lectura en Voz alta “Titeres la rana y la serpiente” (Fan page Imcy) (31/05/2021)Lectura en Voz alta “Choko encuentra una mamá” (Fan page Imcy) (16/06/2021)
Lectura en Voz alta “Titeres la rana y la serpiente” (Fan page Imcy) (31/05/2021)
       Lectura en Voz alta “La muñeca negra” (Colegio Mayor) (06/09/2021)
Lectura en Voz alta “Tres Gallina y un pavo real” (Colegio Mayor) (07/09/2021)
Lectura en Voz alta “La hormiga y la cigarra” (Colegio Mayor) (08/09/2021)
Lectura en Voz alta “Los cocodrilos copiones” (Colegio Mayor) (09/09/2021)
</t>
  </si>
  <si>
    <t>Se desarrollo el 25 aconcurso anual del cuento literaro, donde se incentiva a la poblacion en general y  con enfoque en niños, adolescentes y jovenes la motivacion por la escritura y la imaginacion-}</t>
  </si>
  <si>
    <t>04.33.3301.1603.3301054.200033.2.3.3.05.09.001.21</t>
  </si>
  <si>
    <t>04.33.3301.1603.3301053.200033.2.3.3.05.09.001.22</t>
  </si>
  <si>
    <t>SGPCUL.SDO2020Entidades del gobierno general</t>
  </si>
  <si>
    <t>04.33.3301.1603.3301126.200034.2.3.3.05.09.001.23</t>
  </si>
  <si>
    <t>RA.SDO2020 Entidades del gobierno general</t>
  </si>
  <si>
    <t>Expediente contractual # 10-09-27-006-2021</t>
  </si>
  <si>
    <t>Con el objetivo de garantizar espacios idoneos para la prestacion de servicios culturales y de apoyo institucional se genera el mantenimeinto correctivo y preventivo de los aires acondicionados del Instituto municipal de cultura de yumbo, siendo mantenimiento preventivos como las actividades de tipo preventivo para asegurar su correcto funcionamiento y el correctivo  son las actividades que se ejecutan cuando se presentan fallas en la funcionalidad normal del equipo, lo cual el instituto municipal de cultura conton con la intervencion de diagnpostico de 33 equipos. y se espera dos intervenciones mas con el fin de garantizar los mantenimientos correctivos y preventivos.</t>
  </si>
  <si>
    <t>Proceso de Contratacion Secop II</t>
  </si>
  <si>
    <t>con el fin de garantizar un optimo funcionamiento y salvaguarda de los bienes publico se logra ejecutar  proceso de  selección abreviada para garantizar mediante vigilancia por  camaras de seguridad la salvaguarda de los bienes del centro cultural de Yumbo de la comuna 4.</t>
  </si>
  <si>
    <t>Se logra la generacion de un actividad conmemorativa para la celebracion del 20 de julio donde se hace de forma virtual mediante las redes sociales del IMCY.</t>
  </si>
  <si>
    <t>Formato FO-GA-18</t>
  </si>
  <si>
    <t>Se genera actividad virtual donde se genera de manera virtual acto y tertulia sobre porque se celebra el 7 de agosto.</t>
  </si>
  <si>
    <t>Formato FO-GA-18 , Programa school contro</t>
  </si>
  <si>
    <t>Se logra el 100% del mantenimiento  de los instrumentos pririzados</t>
  </si>
  <si>
    <t>Se logra el 100% de la dotacion  de los instrumentos pririzados</t>
  </si>
  <si>
    <t>Se logra el 100% de la dotacion  de los mobiliarios pririzados</t>
  </si>
  <si>
    <t>Se logra generar muestra de manera virtual donde los asistentes a los talleres de formacion artistica logan expresar sus talentosa la comunidad del municpio de yumbo.</t>
  </si>
  <si>
    <t>Se vienen desarrollando 2 procesos de bandas sinfonicas uno en la institucion educativa titan y otra en la zona rural montañitas y la otra en banda sinfonica en la institucion educativa cordoba</t>
  </si>
  <si>
    <t>formato FO-GA-18</t>
  </si>
  <si>
    <t>Con rotundo éxito se logra ejecutar el  Encuentro Nacionales de Danzas "Nuestra Tierra - IMCY 2021" donde se conto con diferentes agrupaciones nacionales y 1 internacional, este evento se presento de forma semipresencial donde las trasmision se hace de forma presencial.</t>
  </si>
  <si>
    <t>Se han logrado ejecutar 20 programas radiales noticultural donde se hace uso del espacio en la emisora local Yumbo estereo.</t>
  </si>
  <si>
    <t>Con el objetivo de reactivar el sector cultural del municipio de Yumbo se ha logrado establecer espacios para la comunidad, tales como talleres para elaboraciond e cometas, Reactivacion del centro cultural de yumbo.</t>
  </si>
  <si>
    <t>Se logra generar la actividad  XV  Concurso Nacional de Danzas en Pareja - IMCY 2021 donde logramos presentar de forma virtual las difrenetes delegaciones que tuvimos en nuestro municipio</t>
  </si>
  <si>
    <t xml:space="preserve">
Formato Fo-GA-18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</si>
</sst>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4" formatCode="_-&quot;$&quot;\ * #,##0.00_-;\-&quot;$&quot;\ * #,##0.00_-;_-&quot;$&quot;\ * &quot;-&quot;??_-;_-@_-"/>
    <numFmt numFmtId="43" formatCode="_-* #,##0.00_-;\-* #,##0.00_-;_-* &quot;-&quot;??_-;_-@_-"/>
    <numFmt numFmtId="164" formatCode="_(&quot;$&quot;\ * #,##0.00_);_(&quot;$&quot;\ * \(#,##0.00\);_(&quot;$&quot;\ * &quot;-&quot;??_);_(@_)"/>
    <numFmt numFmtId="165" formatCode="_(* #,##0.00_);_(* \(#,##0.00\);_(* &quot;-&quot;??_);_(@_)"/>
    <numFmt numFmtId="166" formatCode="_(&quot;$&quot;* #,##0.00_);_(&quot;$&quot;* \(#,##0.00\);_(&quot;$&quot;* &quot;-&quot;??_);_(@_)"/>
    <numFmt numFmtId="167" formatCode="d\-m;@"/>
    <numFmt numFmtId="168" formatCode="_-[$$-240A]\ * #,##0_-;\-[$$-240A]\ * #,##0_-;_-[$$-240A]\ * &quot;-&quot;??_-;_-@_-"/>
    <numFmt numFmtId="169" formatCode="_-* #,##0.00\ _€_-;\-* #,##0.00\ _€_-;_-* &quot;-&quot;??\ _€_-;_-@_-"/>
    <numFmt numFmtId="170" formatCode="_-&quot;$&quot;\ * #,##0_-;\-&quot;$&quot;\ * #,##0_-;_-&quot;$&quot;\ * &quot;-&quot;??_-;_-@_-"/>
    <numFmt numFmtId="171" formatCode="_-* #,##0_-;\-* #,##0_-;_-* &quot;-&quot;??_-;_-@_-"/>
    <numFmt numFmtId="172" formatCode="0.0%"/>
    <numFmt numFmtId="173" formatCode="_-* #,##0.000_-;\-* #,##0.000_-;_-* &quot;-&quot;??_-;_-@_-"/>
  </numFmts>
  <fonts count="19" x14ac:knownFonts="1">
    <font>
      <sz val="11"/>
      <color theme="1"/>
      <name val="Calibri"/>
      <family val="2"/>
      <scheme val="minor"/>
    </font>
    <font>
      <b/>
      <sz val="12"/>
      <color theme="1"/>
      <name val="Arial"/>
      <family val="2"/>
    </font>
    <font>
      <sz val="10"/>
      <color theme="1"/>
      <name val="Arial"/>
      <family val="2"/>
    </font>
    <font>
      <b/>
      <sz val="10"/>
      <color theme="1"/>
      <name val="Arial"/>
      <family val="2"/>
    </font>
    <font>
      <b/>
      <sz val="10"/>
      <color rgb="FF000000"/>
      <name val="Arial"/>
      <family val="2"/>
    </font>
    <font>
      <sz val="10"/>
      <name val="Arial"/>
      <family val="2"/>
    </font>
    <font>
      <b/>
      <sz val="10"/>
      <name val="Arial"/>
      <family val="2"/>
    </font>
    <font>
      <b/>
      <sz val="8"/>
      <color theme="0"/>
      <name val="Arial"/>
      <family val="2"/>
    </font>
    <font>
      <sz val="11"/>
      <color theme="1"/>
      <name val="Calibri"/>
      <family val="2"/>
      <scheme val="minor"/>
    </font>
    <font>
      <sz val="11"/>
      <color rgb="FF000000"/>
      <name val="Arial"/>
      <family val="2"/>
    </font>
    <font>
      <sz val="9"/>
      <color indexed="81"/>
      <name val="Tahoma"/>
      <family val="2"/>
    </font>
    <font>
      <b/>
      <sz val="9"/>
      <color indexed="81"/>
      <name val="Tahoma"/>
      <family val="2"/>
    </font>
    <font>
      <sz val="12"/>
      <color theme="1"/>
      <name val="Arial"/>
      <family val="2"/>
    </font>
    <font>
      <sz val="11"/>
      <color theme="1"/>
      <name val="Arial"/>
      <family val="2"/>
    </font>
    <font>
      <sz val="11"/>
      <name val="Arial"/>
      <family val="2"/>
    </font>
    <font>
      <sz val="12"/>
      <name val="Arial"/>
      <family val="2"/>
    </font>
    <font>
      <sz val="14"/>
      <color indexed="81"/>
      <name val="Tahoma"/>
      <family val="2"/>
    </font>
    <font>
      <sz val="10"/>
      <color rgb="FFFF0000"/>
      <name val="Arial"/>
      <family val="2"/>
    </font>
    <font>
      <b/>
      <sz val="10"/>
      <color rgb="FFFF0000"/>
      <name val="Arial"/>
      <family val="2"/>
    </font>
  </fonts>
  <fills count="1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3" tint="-0.249977111117893"/>
        <bgColor indexed="64"/>
      </patternFill>
    </fill>
    <fill>
      <patternFill patternType="solid">
        <fgColor rgb="FFFF0000"/>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rgb="FFFFFF99"/>
        <bgColor indexed="64"/>
      </patternFill>
    </fill>
    <fill>
      <patternFill patternType="solid">
        <fgColor rgb="FFFF9999"/>
        <bgColor indexed="64"/>
      </patternFill>
    </fill>
    <fill>
      <patternFill patternType="solid">
        <fgColor rgb="FF66FF66"/>
        <bgColor indexed="64"/>
      </patternFill>
    </fill>
    <fill>
      <patternFill patternType="solid">
        <fgColor rgb="FF66CCFF"/>
        <bgColor indexed="64"/>
      </patternFill>
    </fill>
    <fill>
      <patternFill patternType="solid">
        <fgColor rgb="FF00FF00"/>
        <bgColor indexed="64"/>
      </patternFill>
    </fill>
    <fill>
      <patternFill patternType="solid">
        <fgColor theme="5" tint="0.79998168889431442"/>
        <bgColor indexed="64"/>
      </patternFill>
    </fill>
    <fill>
      <patternFill patternType="solid">
        <fgColor rgb="FFCC99FF"/>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16">
    <xf numFmtId="0" fontId="0" fillId="0" borderId="0"/>
    <xf numFmtId="0" fontId="5" fillId="0" borderId="0"/>
    <xf numFmtId="166" fontId="8"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43" fontId="5" fillId="0" borderId="0" applyFont="0" applyFill="0" applyBorder="0" applyAlignment="0" applyProtection="0"/>
    <xf numFmtId="169" fontId="8" fillId="0" borderId="0" applyFont="0" applyFill="0" applyBorder="0" applyAlignment="0" applyProtection="0"/>
    <xf numFmtId="44" fontId="8" fillId="0" borderId="0" applyFont="0" applyFill="0" applyBorder="0" applyAlignment="0" applyProtection="0"/>
    <xf numFmtId="0" fontId="5"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1" fontId="8" fillId="0" borderId="0" applyFont="0" applyFill="0" applyBorder="0" applyAlignment="0" applyProtection="0"/>
  </cellStyleXfs>
  <cellXfs count="440">
    <xf numFmtId="0" fontId="0" fillId="0" borderId="0" xfId="0"/>
    <xf numFmtId="0" fontId="1" fillId="2" borderId="1" xfId="0" applyFont="1" applyFill="1" applyBorder="1" applyAlignment="1"/>
    <xf numFmtId="0" fontId="2" fillId="2" borderId="3" xfId="0" applyFont="1" applyFill="1" applyBorder="1"/>
    <xf numFmtId="0" fontId="2" fillId="2" borderId="3" xfId="0" applyFont="1" applyFill="1" applyBorder="1" applyAlignment="1">
      <alignment vertical="center"/>
    </xf>
    <xf numFmtId="0" fontId="2" fillId="2" borderId="3" xfId="0" applyFont="1" applyFill="1" applyBorder="1" applyAlignment="1">
      <alignment wrapText="1"/>
    </xf>
    <xf numFmtId="0" fontId="2" fillId="2" borderId="4" xfId="0" applyFont="1" applyFill="1" applyBorder="1" applyAlignment="1">
      <alignment vertical="center"/>
    </xf>
    <xf numFmtId="0" fontId="2" fillId="2" borderId="0" xfId="0" applyFont="1" applyFill="1" applyBorder="1"/>
    <xf numFmtId="0" fontId="2" fillId="2" borderId="0" xfId="0" applyFont="1" applyFill="1" applyBorder="1" applyAlignment="1">
      <alignment vertical="center"/>
    </xf>
    <xf numFmtId="0" fontId="2" fillId="2" borderId="0" xfId="0" applyFont="1" applyFill="1" applyBorder="1" applyAlignment="1">
      <alignment wrapText="1"/>
    </xf>
    <xf numFmtId="0" fontId="2" fillId="2" borderId="5" xfId="0" applyFont="1" applyFill="1" applyBorder="1" applyAlignment="1">
      <alignment vertical="center"/>
    </xf>
    <xf numFmtId="9" fontId="6" fillId="3" borderId="1" xfId="0" applyNumberFormat="1" applyFont="1" applyFill="1" applyBorder="1" applyAlignment="1" applyProtection="1">
      <alignment horizontal="center" vertical="center" wrapText="1"/>
      <protection locked="0"/>
    </xf>
    <xf numFmtId="0" fontId="3" fillId="4" borderId="8" xfId="0" applyFont="1" applyFill="1" applyBorder="1" applyAlignment="1">
      <alignment horizontal="center" vertical="center"/>
    </xf>
    <xf numFmtId="0" fontId="4" fillId="4" borderId="8"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6" fillId="4" borderId="2" xfId="1"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9" fontId="6" fillId="4" borderId="2" xfId="0" applyNumberFormat="1" applyFont="1" applyFill="1" applyBorder="1" applyAlignment="1" applyProtection="1">
      <alignment horizontal="center" vertical="center" wrapText="1"/>
      <protection locked="0"/>
    </xf>
    <xf numFmtId="167" fontId="5" fillId="4" borderId="2" xfId="0" applyNumberFormat="1" applyFont="1" applyFill="1" applyBorder="1" applyAlignment="1" applyProtection="1">
      <alignment horizontal="center" vertical="center" wrapText="1"/>
      <protection locked="0"/>
    </xf>
    <xf numFmtId="0" fontId="6" fillId="4" borderId="2" xfId="0" applyFont="1" applyFill="1" applyBorder="1" applyAlignment="1" applyProtection="1">
      <alignment horizontal="center" vertical="center" wrapText="1"/>
      <protection locked="0"/>
    </xf>
    <xf numFmtId="0" fontId="5" fillId="4" borderId="2" xfId="0" applyFont="1" applyFill="1" applyBorder="1" applyAlignment="1" applyProtection="1">
      <alignment vertical="center" wrapText="1"/>
      <protection locked="0"/>
    </xf>
    <xf numFmtId="0" fontId="6" fillId="4" borderId="2" xfId="0" applyFont="1" applyFill="1" applyBorder="1" applyAlignment="1" applyProtection="1">
      <alignment vertical="center" wrapText="1"/>
      <protection locked="0"/>
    </xf>
    <xf numFmtId="0" fontId="5" fillId="4" borderId="2" xfId="0" applyFont="1" applyFill="1" applyBorder="1" applyAlignment="1" applyProtection="1">
      <alignment horizontal="center" vertical="center" wrapText="1"/>
      <protection locked="0"/>
    </xf>
    <xf numFmtId="168" fontId="5" fillId="4" borderId="2" xfId="0" applyNumberFormat="1" applyFont="1" applyFill="1" applyBorder="1" applyAlignment="1" applyProtection="1">
      <alignment horizontal="center" vertical="center" wrapText="1"/>
      <protection locked="0"/>
    </xf>
    <xf numFmtId="0" fontId="2" fillId="0" borderId="0" xfId="0" applyFont="1"/>
    <xf numFmtId="0" fontId="7" fillId="4" borderId="0" xfId="0" applyFont="1" applyFill="1" applyAlignment="1">
      <alignment horizontal="left" vertical="center"/>
    </xf>
    <xf numFmtId="0" fontId="2" fillId="2" borderId="3" xfId="0" applyFont="1" applyFill="1" applyBorder="1" applyAlignment="1">
      <alignment horizontal="center" vertical="center"/>
    </xf>
    <xf numFmtId="0" fontId="2" fillId="2" borderId="0"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wrapText="1"/>
    </xf>
    <xf numFmtId="0" fontId="1" fillId="2" borderId="1" xfId="0" applyFont="1" applyFill="1" applyBorder="1" applyAlignment="1">
      <alignment horizontal="center" vertical="center"/>
    </xf>
    <xf numFmtId="0" fontId="2" fillId="0" borderId="0" xfId="0" applyFont="1" applyFill="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Alignment="1">
      <alignment vertical="center" wrapText="1"/>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6" fillId="3" borderId="8" xfId="1" applyFont="1" applyFill="1" applyBorder="1" applyAlignment="1" applyProtection="1">
      <alignment horizontal="center" vertical="center" wrapText="1"/>
      <protection locked="0"/>
    </xf>
    <xf numFmtId="9" fontId="6" fillId="3" borderId="2" xfId="1" applyNumberFormat="1" applyFont="1" applyFill="1" applyBorder="1" applyAlignment="1" applyProtection="1">
      <alignment horizontal="center" vertical="center" wrapText="1"/>
      <protection locked="0"/>
    </xf>
    <xf numFmtId="9" fontId="6" fillId="3" borderId="2" xfId="0" applyNumberFormat="1" applyFont="1" applyFill="1" applyBorder="1" applyAlignment="1" applyProtection="1">
      <alignment horizontal="center" vertical="center" wrapText="1"/>
      <protection locked="0"/>
    </xf>
    <xf numFmtId="168" fontId="5" fillId="3" borderId="2" xfId="0" applyNumberFormat="1"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3" fillId="3" borderId="8" xfId="0" applyFont="1" applyFill="1" applyBorder="1" applyAlignment="1">
      <alignment horizontal="center" vertical="center"/>
    </xf>
    <xf numFmtId="0" fontId="6" fillId="3" borderId="2" xfId="0" applyFont="1" applyFill="1" applyBorder="1" applyAlignment="1" applyProtection="1">
      <alignment horizontal="center" vertical="center" wrapText="1"/>
      <protection locked="0"/>
    </xf>
    <xf numFmtId="0" fontId="4" fillId="3" borderId="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6" fillId="3" borderId="2" xfId="1" applyFont="1" applyFill="1" applyBorder="1" applyAlignment="1" applyProtection="1">
      <alignment horizontal="center" vertical="center" wrapText="1"/>
      <protection locked="0"/>
    </xf>
    <xf numFmtId="167" fontId="5" fillId="3" borderId="2" xfId="0" applyNumberFormat="1"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3" fillId="3" borderId="8" xfId="0" applyFont="1" applyFill="1" applyBorder="1" applyAlignment="1">
      <alignment horizontal="center" vertical="center" wrapText="1"/>
    </xf>
    <xf numFmtId="0" fontId="6" fillId="3" borderId="8"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2" fillId="0" borderId="1" xfId="13" applyFont="1" applyFill="1" applyBorder="1" applyAlignment="1">
      <alignment horizontal="center" vertical="center" wrapText="1"/>
    </xf>
    <xf numFmtId="0" fontId="2" fillId="0" borderId="4"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13" fillId="0" borderId="1" xfId="0" applyFont="1" applyFill="1" applyBorder="1" applyAlignment="1">
      <alignment horizontal="center" vertical="center" wrapText="1"/>
    </xf>
    <xf numFmtId="0" fontId="2" fillId="0" borderId="4" xfId="0" applyFont="1" applyFill="1" applyBorder="1" applyAlignment="1" applyProtection="1">
      <alignment horizontal="left" vertical="top" wrapText="1"/>
      <protection locked="0"/>
    </xf>
    <xf numFmtId="0" fontId="2" fillId="0" borderId="9" xfId="0" applyFont="1" applyFill="1" applyBorder="1" applyAlignment="1" applyProtection="1">
      <alignment horizontal="left" vertical="top" wrapText="1"/>
      <protection locked="0"/>
    </xf>
    <xf numFmtId="0" fontId="13" fillId="0" borderId="1" xfId="0" applyFont="1" applyFill="1" applyBorder="1" applyAlignment="1">
      <alignment horizontal="left" vertical="top" wrapText="1"/>
    </xf>
    <xf numFmtId="0" fontId="2" fillId="0" borderId="4" xfId="0" quotePrefix="1" applyFont="1" applyFill="1" applyBorder="1" applyAlignment="1" applyProtection="1">
      <alignment horizontal="left" vertical="top" wrapText="1"/>
      <protection locked="0"/>
    </xf>
    <xf numFmtId="44" fontId="2" fillId="0" borderId="4" xfId="14" applyFont="1" applyFill="1" applyBorder="1" applyAlignment="1" applyProtection="1">
      <alignment horizontal="left" vertical="top" wrapText="1"/>
      <protection locked="0"/>
    </xf>
    <xf numFmtId="44" fontId="2" fillId="0" borderId="9" xfId="14" applyFont="1" applyFill="1" applyBorder="1" applyAlignment="1" applyProtection="1">
      <alignment horizontal="left" vertical="top" wrapText="1"/>
      <protection locked="0"/>
    </xf>
    <xf numFmtId="44" fontId="13" fillId="0" borderId="1" xfId="14" applyFont="1" applyFill="1" applyBorder="1" applyAlignment="1">
      <alignment horizontal="left" vertical="top" wrapText="1"/>
    </xf>
    <xf numFmtId="44" fontId="2" fillId="0" borderId="1" xfId="14" applyFont="1" applyFill="1" applyBorder="1" applyAlignment="1">
      <alignment horizontal="center" vertical="center" wrapText="1"/>
    </xf>
    <xf numFmtId="0" fontId="2" fillId="0" borderId="1" xfId="0" applyFont="1" applyFill="1" applyBorder="1" applyAlignment="1" applyProtection="1">
      <alignment horizontal="left" vertical="top" wrapText="1"/>
      <protection locked="0"/>
    </xf>
    <xf numFmtId="44" fontId="2" fillId="0" borderId="1" xfId="14" applyFont="1" applyFill="1" applyBorder="1" applyAlignment="1" applyProtection="1">
      <alignment horizontal="left" vertical="top" wrapText="1"/>
      <protection locked="0"/>
    </xf>
    <xf numFmtId="0" fontId="2" fillId="0" borderId="1" xfId="0" quotePrefix="1" applyFont="1" applyFill="1" applyBorder="1" applyAlignment="1" applyProtection="1">
      <alignment horizontal="left" vertical="top" wrapText="1"/>
      <protection locked="0"/>
    </xf>
    <xf numFmtId="44" fontId="2" fillId="0" borderId="4" xfId="14" applyFont="1" applyFill="1" applyBorder="1" applyAlignment="1" applyProtection="1">
      <alignment horizontal="left" vertical="top" wrapText="1"/>
      <protection locked="0"/>
    </xf>
    <xf numFmtId="0" fontId="2" fillId="0" borderId="0" xfId="0" applyFont="1" applyBorder="1" applyAlignment="1">
      <alignment vertical="center"/>
    </xf>
    <xf numFmtId="9" fontId="2" fillId="0" borderId="4" xfId="13" applyFont="1" applyFill="1" applyBorder="1" applyAlignment="1" applyProtection="1">
      <alignment horizontal="center" vertical="center" wrapText="1"/>
      <protection locked="0"/>
    </xf>
    <xf numFmtId="0" fontId="2" fillId="0" borderId="9" xfId="0" quotePrefix="1" applyFont="1" applyFill="1" applyBorder="1" applyAlignment="1" applyProtection="1">
      <alignment horizontal="left" vertical="top" wrapText="1"/>
      <protection locked="0"/>
    </xf>
    <xf numFmtId="0" fontId="13" fillId="0" borderId="1" xfId="0" quotePrefix="1"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2" fillId="0" borderId="9" xfId="0" applyFont="1" applyFill="1" applyBorder="1" applyAlignment="1">
      <alignment vertical="center" wrapText="1"/>
    </xf>
    <xf numFmtId="44" fontId="2" fillId="0" borderId="9" xfId="14" applyFont="1" applyFill="1" applyBorder="1" applyAlignment="1">
      <alignment vertical="center" wrapText="1"/>
    </xf>
    <xf numFmtId="0" fontId="2" fillId="0" borderId="1" xfId="0" quotePrefix="1"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0" fontId="2" fillId="0" borderId="2" xfId="0" applyFont="1" applyFill="1" applyBorder="1" applyAlignment="1">
      <alignment horizontal="center" vertical="center" wrapText="1"/>
    </xf>
    <xf numFmtId="9" fontId="2" fillId="0" borderId="9" xfId="13" applyFont="1" applyFill="1" applyBorder="1" applyAlignment="1" applyProtection="1">
      <alignment horizontal="center" vertical="center" wrapText="1"/>
      <protection locked="0"/>
    </xf>
    <xf numFmtId="0" fontId="3"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9" xfId="0" applyFont="1" applyFill="1" applyBorder="1" applyAlignment="1" applyProtection="1">
      <alignment horizontal="left" vertical="center" wrapText="1"/>
      <protection locked="0"/>
    </xf>
    <xf numFmtId="44" fontId="5" fillId="0" borderId="1" xfId="14" applyFont="1" applyFill="1" applyBorder="1" applyAlignment="1">
      <alignment horizontal="center" vertical="center" wrapText="1"/>
    </xf>
    <xf numFmtId="44" fontId="5" fillId="0" borderId="9" xfId="14" applyFont="1" applyFill="1" applyBorder="1" applyAlignment="1">
      <alignment vertical="center" wrapText="1"/>
    </xf>
    <xf numFmtId="44" fontId="5" fillId="0" borderId="4" xfId="14" applyFont="1" applyFill="1" applyBorder="1" applyAlignment="1" applyProtection="1">
      <alignment horizontal="left" vertical="top" wrapText="1"/>
      <protection locked="0"/>
    </xf>
    <xf numFmtId="44" fontId="5" fillId="0" borderId="1" xfId="14" applyFont="1" applyFill="1" applyBorder="1" applyAlignment="1" applyProtection="1">
      <alignment horizontal="left" vertical="top" wrapText="1"/>
      <protection locked="0"/>
    </xf>
    <xf numFmtId="44" fontId="5" fillId="0" borderId="9" xfId="14" applyFont="1" applyFill="1" applyBorder="1" applyAlignment="1" applyProtection="1">
      <alignment horizontal="left" vertical="top" wrapText="1"/>
      <protection locked="0"/>
    </xf>
    <xf numFmtId="170" fontId="5" fillId="0" borderId="1" xfId="14" applyNumberFormat="1" applyFont="1" applyFill="1" applyBorder="1" applyAlignment="1">
      <alignment horizontal="center" vertical="center" wrapText="1"/>
    </xf>
    <xf numFmtId="44" fontId="2" fillId="0" borderId="6" xfId="14" applyFont="1" applyFill="1" applyBorder="1" applyAlignment="1">
      <alignment horizontal="center" vertical="center" wrapText="1"/>
    </xf>
    <xf numFmtId="0" fontId="12" fillId="0" borderId="1" xfId="0" applyFont="1" applyFill="1" applyBorder="1" applyAlignment="1">
      <alignment horizontal="center" vertical="center" wrapText="1"/>
    </xf>
    <xf numFmtId="9" fontId="13" fillId="0" borderId="1" xfId="13" applyFont="1" applyFill="1" applyBorder="1" applyAlignment="1">
      <alignment horizontal="center" vertical="center" wrapText="1"/>
    </xf>
    <xf numFmtId="0" fontId="2" fillId="0" borderId="4"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44" fontId="5" fillId="0" borderId="4" xfId="14" applyFont="1" applyFill="1" applyBorder="1" applyAlignment="1" applyProtection="1">
      <alignment horizontal="center" vertical="center" wrapText="1"/>
      <protection locked="0"/>
    </xf>
    <xf numFmtId="9" fontId="5" fillId="0" borderId="4" xfId="13" applyFont="1" applyFill="1" applyBorder="1" applyAlignment="1" applyProtection="1">
      <alignment horizontal="center" vertical="center" wrapText="1"/>
      <protection locked="0"/>
    </xf>
    <xf numFmtId="9" fontId="5" fillId="0" borderId="3" xfId="13"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wrapText="1"/>
    </xf>
    <xf numFmtId="44" fontId="5" fillId="0" borderId="1" xfId="14" applyFont="1" applyFill="1" applyBorder="1" applyAlignment="1" applyProtection="1">
      <alignment horizontal="center" vertical="center" wrapText="1"/>
      <protection locked="0"/>
    </xf>
    <xf numFmtId="44" fontId="5" fillId="0" borderId="9" xfId="14" applyFont="1" applyFill="1" applyBorder="1" applyAlignment="1" applyProtection="1">
      <alignment horizontal="center" vertical="center" wrapText="1"/>
      <protection locked="0"/>
    </xf>
    <xf numFmtId="44" fontId="14" fillId="0" borderId="1" xfId="14"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5" fillId="0" borderId="2" xfId="0" applyFont="1" applyFill="1" applyBorder="1" applyAlignment="1">
      <alignment horizontal="center" vertical="center" wrapText="1"/>
    </xf>
    <xf numFmtId="9" fontId="5" fillId="0" borderId="6" xfId="13" applyFont="1" applyFill="1" applyBorder="1" applyAlignment="1" applyProtection="1">
      <alignment horizontal="center" vertical="center" wrapText="1"/>
      <protection locked="0"/>
    </xf>
    <xf numFmtId="9" fontId="5" fillId="0" borderId="10" xfId="13" applyFont="1" applyFill="1" applyBorder="1" applyAlignment="1" applyProtection="1">
      <alignment horizontal="center" vertical="center" wrapText="1"/>
      <protection locked="0"/>
    </xf>
    <xf numFmtId="9" fontId="2" fillId="0" borderId="0" xfId="0" applyNumberFormat="1" applyFont="1" applyFill="1" applyAlignment="1">
      <alignment horizontal="center" vertical="center"/>
    </xf>
    <xf numFmtId="44" fontId="5" fillId="0" borderId="9" xfId="14" applyFont="1" applyFill="1" applyBorder="1" applyAlignment="1">
      <alignment horizontal="center" vertical="center" wrapText="1"/>
    </xf>
    <xf numFmtId="0" fontId="2" fillId="6" borderId="4" xfId="0" quotePrefix="1" applyFont="1" applyFill="1" applyBorder="1" applyAlignment="1" applyProtection="1">
      <alignment horizontal="left" vertical="top" wrapText="1"/>
      <protection locked="0"/>
    </xf>
    <xf numFmtId="0" fontId="2" fillId="6" borderId="1" xfId="0" quotePrefix="1" applyFont="1" applyFill="1" applyBorder="1" applyAlignment="1" applyProtection="1">
      <alignment horizontal="left" vertical="top" wrapText="1"/>
      <protection locked="0"/>
    </xf>
    <xf numFmtId="0" fontId="2" fillId="6" borderId="9" xfId="0" quotePrefix="1" applyFont="1" applyFill="1" applyBorder="1" applyAlignment="1" applyProtection="1">
      <alignment horizontal="left" vertical="top" wrapText="1"/>
      <protection locked="0"/>
    </xf>
    <xf numFmtId="0" fontId="13" fillId="6" borderId="1" xfId="0" quotePrefix="1" applyFont="1" applyFill="1" applyBorder="1" applyAlignment="1">
      <alignment horizontal="left" vertical="top" wrapText="1"/>
    </xf>
    <xf numFmtId="0" fontId="2" fillId="7" borderId="1" xfId="0" quotePrefix="1" applyFont="1" applyFill="1" applyBorder="1" applyAlignment="1">
      <alignment horizontal="center" vertical="center" wrapText="1"/>
    </xf>
    <xf numFmtId="0" fontId="2" fillId="7" borderId="9" xfId="0" quotePrefix="1" applyFont="1" applyFill="1" applyBorder="1" applyAlignment="1">
      <alignment vertical="center" wrapText="1"/>
    </xf>
    <xf numFmtId="0" fontId="2" fillId="8" borderId="1" xfId="0" quotePrefix="1" applyFont="1" applyFill="1" applyBorder="1" applyAlignment="1">
      <alignment horizontal="center" vertical="center" wrapText="1"/>
    </xf>
    <xf numFmtId="0" fontId="2" fillId="8" borderId="2" xfId="0" quotePrefix="1" applyFont="1" applyFill="1" applyBorder="1" applyAlignment="1">
      <alignment vertical="center" wrapText="1"/>
    </xf>
    <xf numFmtId="0" fontId="2" fillId="0" borderId="1" xfId="0" applyFont="1" applyFill="1" applyBorder="1" applyAlignment="1">
      <alignment vertical="center" wrapText="1"/>
    </xf>
    <xf numFmtId="44" fontId="2" fillId="0" borderId="1" xfId="14" applyFont="1" applyFill="1" applyBorder="1" applyAlignment="1">
      <alignment vertical="center" wrapText="1"/>
    </xf>
    <xf numFmtId="44" fontId="5" fillId="0" borderId="1" xfId="14" applyFont="1" applyFill="1" applyBorder="1" applyAlignment="1">
      <alignment vertical="center" wrapText="1"/>
    </xf>
    <xf numFmtId="0" fontId="2" fillId="9" borderId="1" xfId="0" quotePrefix="1" applyFont="1" applyFill="1" applyBorder="1" applyAlignment="1">
      <alignment horizontal="center" vertical="center" wrapText="1"/>
    </xf>
    <xf numFmtId="0" fontId="2" fillId="10" borderId="1" xfId="0" quotePrefix="1" applyFont="1" applyFill="1" applyBorder="1" applyAlignment="1">
      <alignment horizontal="center" vertical="center" wrapText="1"/>
    </xf>
    <xf numFmtId="0" fontId="2" fillId="11" borderId="1" xfId="0" quotePrefix="1"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13" fillId="14" borderId="1" xfId="0" quotePrefix="1" applyFont="1" applyFill="1" applyBorder="1" applyAlignment="1">
      <alignment horizontal="left" vertical="top" wrapText="1"/>
    </xf>
    <xf numFmtId="0" fontId="2" fillId="14" borderId="1" xfId="0" quotePrefix="1" applyFont="1" applyFill="1" applyBorder="1" applyAlignment="1">
      <alignment horizontal="center" vertical="center" wrapText="1"/>
    </xf>
    <xf numFmtId="0" fontId="2" fillId="15" borderId="1" xfId="0" quotePrefix="1" applyFont="1" applyFill="1" applyBorder="1" applyAlignment="1">
      <alignment horizontal="center" vertical="center" wrapText="1"/>
    </xf>
    <xf numFmtId="44" fontId="3" fillId="13" borderId="1" xfId="0" applyNumberFormat="1" applyFont="1" applyFill="1" applyBorder="1" applyAlignment="1">
      <alignment vertical="center"/>
    </xf>
    <xf numFmtId="9" fontId="3" fillId="13" borderId="1" xfId="0" applyNumberFormat="1" applyFont="1" applyFill="1" applyBorder="1" applyAlignment="1">
      <alignment vertical="center"/>
    </xf>
    <xf numFmtId="9" fontId="3" fillId="13" borderId="1" xfId="13" applyNumberFormat="1" applyFont="1" applyFill="1" applyBorder="1" applyAlignment="1">
      <alignment vertical="center"/>
    </xf>
    <xf numFmtId="0" fontId="3" fillId="0" borderId="1" xfId="0" applyFont="1" applyFill="1" applyBorder="1" applyAlignment="1">
      <alignment horizontal="left" vertical="center" wrapText="1"/>
    </xf>
    <xf numFmtId="0" fontId="2" fillId="12" borderId="1" xfId="0" applyFont="1" applyFill="1" applyBorder="1" applyAlignment="1">
      <alignment vertical="center" wrapText="1"/>
    </xf>
    <xf numFmtId="0" fontId="2" fillId="11" borderId="1" xfId="0" quotePrefix="1" applyFont="1" applyFill="1" applyBorder="1" applyAlignment="1">
      <alignment vertical="center" wrapText="1"/>
    </xf>
    <xf numFmtId="0" fontId="2" fillId="0" borderId="1" xfId="0" quotePrefix="1" applyFont="1" applyFill="1" applyBorder="1" applyAlignment="1">
      <alignment vertical="center" wrapText="1"/>
    </xf>
    <xf numFmtId="9" fontId="2" fillId="13" borderId="1" xfId="13" applyFont="1" applyFill="1" applyBorder="1" applyAlignment="1">
      <alignment horizontal="center" vertical="center" wrapText="1"/>
    </xf>
    <xf numFmtId="44" fontId="2" fillId="0" borderId="9" xfId="14" applyNumberFormat="1" applyFont="1" applyFill="1" applyBorder="1" applyAlignment="1" applyProtection="1">
      <alignment horizontal="left" vertical="top" wrapText="1"/>
      <protection locked="0"/>
    </xf>
    <xf numFmtId="44" fontId="2" fillId="0" borderId="0" xfId="0" applyNumberFormat="1" applyFont="1" applyAlignment="1">
      <alignment vertical="center"/>
    </xf>
    <xf numFmtId="44" fontId="5" fillId="13" borderId="1" xfId="14" applyFont="1" applyFill="1" applyBorder="1" applyAlignment="1">
      <alignment horizontal="center" vertical="center" wrapText="1"/>
    </xf>
    <xf numFmtId="44" fontId="2" fillId="13" borderId="1" xfId="14" applyFont="1" applyFill="1" applyBorder="1" applyAlignment="1">
      <alignment horizontal="center" vertical="center" wrapText="1"/>
    </xf>
    <xf numFmtId="44" fontId="3" fillId="13" borderId="0" xfId="0" applyNumberFormat="1" applyFont="1" applyFill="1" applyAlignment="1">
      <alignment vertical="center"/>
    </xf>
    <xf numFmtId="9" fontId="3" fillId="13" borderId="1" xfId="13" applyFont="1" applyFill="1" applyBorder="1" applyAlignment="1">
      <alignment horizontal="center" vertical="center" wrapText="1"/>
    </xf>
    <xf numFmtId="9" fontId="3" fillId="0" borderId="1" xfId="13" applyFont="1" applyFill="1" applyBorder="1" applyAlignment="1">
      <alignment horizontal="center" vertical="center" wrapText="1"/>
    </xf>
    <xf numFmtId="0" fontId="17" fillId="0" borderId="0" xfId="0" applyFont="1" applyFill="1" applyAlignment="1">
      <alignment horizontal="center" vertical="center"/>
    </xf>
    <xf numFmtId="0" fontId="17" fillId="0" borderId="3" xfId="0" applyFont="1" applyFill="1" applyBorder="1" applyAlignment="1">
      <alignment horizontal="center" vertical="center"/>
    </xf>
    <xf numFmtId="0" fontId="17" fillId="0" borderId="0" xfId="0" applyFont="1" applyFill="1" applyBorder="1" applyAlignment="1">
      <alignment horizontal="center" vertical="center"/>
    </xf>
    <xf numFmtId="0" fontId="18" fillId="3" borderId="2" xfId="1" applyFont="1" applyFill="1" applyBorder="1" applyAlignment="1" applyProtection="1">
      <alignment horizontal="center" vertical="center" wrapText="1"/>
      <protection locked="0"/>
    </xf>
    <xf numFmtId="0" fontId="18" fillId="4" borderId="2" xfId="1" applyFont="1" applyFill="1" applyBorder="1" applyAlignment="1" applyProtection="1">
      <alignment horizontal="center" vertical="center" wrapText="1"/>
      <protection locked="0"/>
    </xf>
    <xf numFmtId="9" fontId="3" fillId="0" borderId="1" xfId="13" applyFont="1" applyFill="1" applyBorder="1" applyAlignment="1">
      <alignment horizontal="center" vertical="center" wrapText="1"/>
    </xf>
    <xf numFmtId="9" fontId="6" fillId="3" borderId="3" xfId="0" applyNumberFormat="1" applyFont="1" applyFill="1" applyBorder="1" applyAlignment="1" applyProtection="1">
      <alignment horizontal="center" vertical="center" wrapText="1"/>
      <protection locked="0"/>
    </xf>
    <xf numFmtId="9" fontId="6" fillId="3" borderId="0" xfId="0" applyNumberFormat="1" applyFont="1" applyFill="1" applyBorder="1" applyAlignment="1" applyProtection="1">
      <alignment horizontal="center" vertical="center" wrapText="1"/>
      <protection locked="0"/>
    </xf>
    <xf numFmtId="172" fontId="2" fillId="0" borderId="4" xfId="13" applyNumberFormat="1" applyFont="1" applyFill="1" applyBorder="1" applyAlignment="1" applyProtection="1">
      <alignment horizontal="center" vertical="center" wrapText="1"/>
      <protection locked="0"/>
    </xf>
    <xf numFmtId="172" fontId="2" fillId="0" borderId="9" xfId="13" applyNumberFormat="1" applyFont="1" applyFill="1" applyBorder="1" applyAlignment="1" applyProtection="1">
      <alignment horizontal="center" vertical="center" wrapText="1"/>
      <protection locked="0"/>
    </xf>
    <xf numFmtId="172" fontId="2" fillId="0" borderId="1" xfId="13" applyNumberFormat="1" applyFont="1" applyFill="1" applyBorder="1" applyAlignment="1">
      <alignment horizontal="center" vertical="center" wrapText="1"/>
    </xf>
    <xf numFmtId="10" fontId="2" fillId="0" borderId="1" xfId="13" applyNumberFormat="1" applyFont="1" applyFill="1" applyBorder="1" applyAlignment="1">
      <alignment horizontal="center" vertical="center" wrapText="1"/>
    </xf>
    <xf numFmtId="10" fontId="3" fillId="0" borderId="1" xfId="13" applyNumberFormat="1" applyFont="1" applyFill="1" applyBorder="1" applyAlignment="1">
      <alignment horizontal="center" vertical="center" wrapText="1"/>
    </xf>
    <xf numFmtId="0" fontId="3" fillId="9" borderId="1" xfId="0" applyFont="1" applyFill="1" applyBorder="1" applyAlignment="1">
      <alignment horizontal="left" vertical="top" wrapText="1"/>
    </xf>
    <xf numFmtId="172" fontId="3" fillId="9" borderId="1" xfId="13" applyNumberFormat="1" applyFont="1" applyFill="1" applyBorder="1" applyAlignment="1">
      <alignment horizontal="center" vertical="center" wrapText="1"/>
    </xf>
    <xf numFmtId="9" fontId="3" fillId="9" borderId="1" xfId="13" applyFont="1" applyFill="1" applyBorder="1" applyAlignment="1">
      <alignment horizontal="center" vertical="center" wrapText="1"/>
    </xf>
    <xf numFmtId="0" fontId="6" fillId="9" borderId="1" xfId="0" applyFont="1" applyFill="1" applyBorder="1" applyAlignment="1">
      <alignment horizontal="left" vertical="top" wrapText="1"/>
    </xf>
    <xf numFmtId="172" fontId="6" fillId="9" borderId="1" xfId="13" applyNumberFormat="1" applyFont="1" applyFill="1" applyBorder="1" applyAlignment="1">
      <alignment horizontal="center" vertical="center" wrapText="1"/>
    </xf>
    <xf numFmtId="10" fontId="3" fillId="9" borderId="1" xfId="13" applyNumberFormat="1" applyFont="1" applyFill="1" applyBorder="1" applyAlignment="1">
      <alignment horizontal="center" vertical="center" wrapText="1"/>
    </xf>
    <xf numFmtId="9" fontId="2" fillId="0" borderId="1" xfId="13" applyNumberFormat="1" applyFont="1" applyFill="1" applyBorder="1" applyAlignment="1">
      <alignment horizontal="center" vertical="center" wrapText="1"/>
    </xf>
    <xf numFmtId="9" fontId="2" fillId="9" borderId="1" xfId="13" applyFont="1" applyFill="1" applyBorder="1" applyAlignment="1">
      <alignment horizontal="center" vertical="center" wrapText="1"/>
    </xf>
    <xf numFmtId="0" fontId="2" fillId="0" borderId="2" xfId="0" applyFont="1" applyFill="1" applyBorder="1" applyAlignment="1">
      <alignment horizontal="center" vertical="center" wrapText="1"/>
    </xf>
    <xf numFmtId="44" fontId="5" fillId="0" borderId="2" xfId="14" applyFont="1" applyFill="1" applyBorder="1" applyAlignment="1">
      <alignment horizontal="center" vertical="center" wrapText="1"/>
    </xf>
    <xf numFmtId="44" fontId="2" fillId="0" borderId="2" xfId="14" applyFont="1" applyFill="1" applyBorder="1" applyAlignment="1">
      <alignment horizontal="center" vertical="center" wrapText="1"/>
    </xf>
    <xf numFmtId="44" fontId="2" fillId="0" borderId="0" xfId="14" applyFont="1" applyAlignment="1">
      <alignment vertical="center"/>
    </xf>
    <xf numFmtId="44" fontId="2" fillId="0" borderId="0" xfId="0" applyNumberFormat="1" applyFont="1" applyBorder="1" applyAlignment="1">
      <alignment vertical="center"/>
    </xf>
    <xf numFmtId="44" fontId="5" fillId="0" borderId="1" xfId="14" quotePrefix="1" applyFont="1" applyFill="1" applyBorder="1" applyAlignment="1">
      <alignment horizontal="center" vertical="center" wrapText="1"/>
    </xf>
    <xf numFmtId="44" fontId="2" fillId="0" borderId="1" xfId="14" quotePrefix="1" applyFont="1" applyFill="1" applyBorder="1" applyAlignment="1">
      <alignment horizontal="center" vertical="center" wrapText="1"/>
    </xf>
    <xf numFmtId="0" fontId="5" fillId="0" borderId="3" xfId="13" applyNumberFormat="1" applyFont="1" applyFill="1" applyBorder="1" applyAlignment="1" applyProtection="1">
      <alignment horizontal="center" vertical="center" wrapText="1"/>
      <protection locked="0"/>
    </xf>
    <xf numFmtId="44" fontId="14" fillId="0" borderId="1" xfId="14" applyFont="1" applyFill="1" applyBorder="1" applyAlignment="1">
      <alignment horizontal="left" vertical="center" wrapText="1"/>
    </xf>
    <xf numFmtId="0" fontId="3" fillId="9" borderId="9" xfId="0" applyFont="1" applyFill="1" applyBorder="1" applyAlignment="1">
      <alignment horizontal="left" vertical="top" wrapText="1"/>
    </xf>
    <xf numFmtId="0" fontId="12" fillId="0" borderId="9" xfId="0" applyFont="1" applyFill="1" applyBorder="1" applyAlignment="1">
      <alignment horizontal="center" vertical="center" wrapText="1"/>
    </xf>
    <xf numFmtId="9" fontId="5" fillId="16" borderId="3" xfId="13" applyFont="1" applyFill="1" applyBorder="1" applyAlignment="1" applyProtection="1">
      <alignment horizontal="center" vertical="center" wrapText="1"/>
      <protection locked="0"/>
    </xf>
    <xf numFmtId="0" fontId="6" fillId="16" borderId="1" xfId="0" applyFont="1" applyFill="1" applyBorder="1" applyAlignment="1">
      <alignment horizontal="center" vertical="center" wrapText="1"/>
    </xf>
    <xf numFmtId="0" fontId="6" fillId="16" borderId="9" xfId="0" applyFont="1" applyFill="1" applyBorder="1" applyAlignment="1">
      <alignment horizontal="center" vertical="center" wrapText="1"/>
    </xf>
    <xf numFmtId="0" fontId="5" fillId="16" borderId="2"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 fillId="0" borderId="5" xfId="0" applyFont="1" applyFill="1" applyBorder="1" applyAlignment="1" applyProtection="1">
      <alignment horizontal="left" vertical="top" wrapText="1"/>
      <protection locked="0"/>
    </xf>
    <xf numFmtId="9" fontId="5" fillId="0" borderId="1" xfId="13" applyFont="1" applyFill="1" applyBorder="1" applyAlignment="1">
      <alignment horizontal="center" vertical="center" wrapText="1"/>
    </xf>
    <xf numFmtId="10" fontId="2" fillId="0" borderId="1" xfId="13" applyNumberFormat="1" applyFont="1" applyFill="1" applyBorder="1" applyAlignment="1">
      <alignment vertical="center" wrapText="1"/>
    </xf>
    <xf numFmtId="0" fontId="2" fillId="13" borderId="1" xfId="0" quotePrefix="1" applyFont="1" applyFill="1" applyBorder="1" applyAlignment="1">
      <alignment horizontal="center" vertical="center" wrapText="1"/>
    </xf>
    <xf numFmtId="0" fontId="2" fillId="14" borderId="1" xfId="0" quotePrefix="1" applyFont="1" applyFill="1" applyBorder="1" applyAlignment="1" applyProtection="1">
      <alignment horizontal="left" vertical="top" wrapText="1"/>
      <protection locked="0"/>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center" wrapText="1"/>
    </xf>
    <xf numFmtId="172" fontId="2" fillId="0" borderId="1" xfId="13" applyNumberFormat="1" applyFont="1" applyFill="1" applyBorder="1" applyAlignment="1">
      <alignment horizontal="center" vertical="center" wrapText="1"/>
    </xf>
    <xf numFmtId="0" fontId="3" fillId="9" borderId="1" xfId="0" applyFont="1" applyFill="1" applyBorder="1" applyAlignment="1">
      <alignment horizontal="left" vertical="top" wrapText="1"/>
    </xf>
    <xf numFmtId="9" fontId="3" fillId="9" borderId="1" xfId="13" applyFont="1" applyFill="1" applyBorder="1" applyAlignment="1">
      <alignment horizontal="center" vertical="center" wrapText="1"/>
    </xf>
    <xf numFmtId="9" fontId="2" fillId="0" borderId="0" xfId="0" applyNumberFormat="1" applyFont="1" applyAlignment="1">
      <alignment horizontal="center" vertical="center"/>
    </xf>
    <xf numFmtId="9" fontId="3" fillId="0" borderId="1" xfId="13" applyFont="1" applyFill="1" applyBorder="1" applyAlignment="1">
      <alignment horizontal="center" vertical="center" wrapText="1"/>
    </xf>
    <xf numFmtId="9" fontId="3" fillId="0" borderId="1" xfId="12" applyNumberFormat="1" applyFont="1" applyFill="1" applyBorder="1" applyAlignment="1">
      <alignment horizontal="center" vertical="center" wrapText="1"/>
    </xf>
    <xf numFmtId="43" fontId="3" fillId="16" borderId="1" xfId="12" applyFont="1" applyFill="1" applyBorder="1" applyAlignment="1">
      <alignment horizontal="center" vertical="center" wrapText="1"/>
    </xf>
    <xf numFmtId="9" fontId="2" fillId="16" borderId="4" xfId="13" applyFont="1" applyFill="1" applyBorder="1" applyAlignment="1" applyProtection="1">
      <alignment horizontal="center" vertical="center" wrapText="1"/>
      <protection locked="0"/>
    </xf>
    <xf numFmtId="9" fontId="2" fillId="16" borderId="9" xfId="13" applyFont="1" applyFill="1" applyBorder="1" applyAlignment="1" applyProtection="1">
      <alignment horizontal="center" vertical="center" wrapText="1"/>
      <protection locked="0"/>
    </xf>
    <xf numFmtId="9" fontId="13" fillId="16" borderId="1" xfId="13" applyFont="1" applyFill="1" applyBorder="1" applyAlignment="1">
      <alignment horizontal="center" vertical="center" wrapText="1"/>
    </xf>
    <xf numFmtId="9" fontId="2" fillId="16" borderId="1" xfId="13" applyFont="1" applyFill="1" applyBorder="1" applyAlignment="1">
      <alignment horizontal="center" vertical="center" wrapText="1"/>
    </xf>
    <xf numFmtId="172" fontId="2" fillId="16" borderId="1" xfId="13" applyNumberFormat="1" applyFont="1" applyFill="1" applyBorder="1" applyAlignment="1">
      <alignment horizontal="center" vertical="center" wrapText="1"/>
    </xf>
    <xf numFmtId="9" fontId="3" fillId="16" borderId="1" xfId="13" applyFont="1" applyFill="1" applyBorder="1" applyAlignment="1">
      <alignment horizontal="center" vertical="center" wrapText="1"/>
    </xf>
    <xf numFmtId="172" fontId="3" fillId="16" borderId="1" xfId="13" applyNumberFormat="1" applyFont="1" applyFill="1" applyBorder="1" applyAlignment="1">
      <alignment horizontal="center" vertical="center" wrapText="1"/>
    </xf>
    <xf numFmtId="172" fontId="6" fillId="16" borderId="1" xfId="13" applyNumberFormat="1" applyFont="1" applyFill="1" applyBorder="1" applyAlignment="1">
      <alignment horizontal="center" vertical="center" wrapText="1"/>
    </xf>
    <xf numFmtId="10" fontId="3" fillId="16" borderId="1" xfId="13" applyNumberFormat="1" applyFont="1" applyFill="1" applyBorder="1" applyAlignment="1">
      <alignment horizontal="center" vertical="center" wrapText="1"/>
    </xf>
    <xf numFmtId="10" fontId="2" fillId="16" borderId="1" xfId="13" applyNumberFormat="1" applyFont="1" applyFill="1" applyBorder="1" applyAlignment="1">
      <alignment horizontal="center" vertical="center" wrapText="1"/>
    </xf>
    <xf numFmtId="0" fontId="2" fillId="16" borderId="1" xfId="0" applyFont="1" applyFill="1" applyBorder="1" applyAlignment="1">
      <alignment horizontal="center" vertical="center" wrapText="1"/>
    </xf>
    <xf numFmtId="0" fontId="2" fillId="16" borderId="1" xfId="0" applyFont="1" applyFill="1" applyBorder="1" applyAlignment="1">
      <alignment horizontal="left" vertical="top" wrapText="1"/>
    </xf>
    <xf numFmtId="0" fontId="3" fillId="16" borderId="1" xfId="0" applyFont="1" applyFill="1" applyBorder="1" applyAlignment="1">
      <alignment horizontal="left" vertical="top" wrapText="1"/>
    </xf>
    <xf numFmtId="0" fontId="3" fillId="16"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44" fontId="5" fillId="0" borderId="2" xfId="14" applyFont="1" applyFill="1" applyBorder="1" applyAlignment="1">
      <alignment horizontal="center" vertical="center" wrapText="1"/>
    </xf>
    <xf numFmtId="0" fontId="5" fillId="0" borderId="2"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2" fillId="15" borderId="1" xfId="0" quotePrefix="1" applyFont="1" applyFill="1" applyBorder="1" applyAlignment="1">
      <alignment horizontal="center" vertical="center" wrapText="1"/>
    </xf>
    <xf numFmtId="9" fontId="5" fillId="16" borderId="8" xfId="13" applyFont="1" applyFill="1" applyBorder="1" applyAlignment="1">
      <alignment horizontal="center" vertical="center" wrapText="1"/>
    </xf>
    <xf numFmtId="9" fontId="5" fillId="0" borderId="2" xfId="13"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2" fillId="16" borderId="1" xfId="0" applyFont="1" applyFill="1" applyBorder="1" applyAlignment="1">
      <alignment horizontal="left" vertical="top" wrapText="1"/>
    </xf>
    <xf numFmtId="0" fontId="2" fillId="15" borderId="1" xfId="0" quotePrefix="1" applyFont="1" applyFill="1" applyBorder="1" applyAlignment="1">
      <alignment horizontal="center" vertical="center" wrapText="1"/>
    </xf>
    <xf numFmtId="9" fontId="5" fillId="0" borderId="1" xfId="13" applyFont="1" applyFill="1" applyBorder="1" applyAlignment="1" applyProtection="1">
      <alignment horizontal="center" vertical="center" wrapText="1"/>
      <protection locked="0"/>
    </xf>
    <xf numFmtId="9" fontId="5" fillId="16" borderId="1" xfId="13" applyFont="1" applyFill="1" applyBorder="1" applyAlignment="1" applyProtection="1">
      <alignment horizontal="center" vertical="center" wrapText="1"/>
      <protection locked="0"/>
    </xf>
    <xf numFmtId="0" fontId="2" fillId="0" borderId="8" xfId="0" applyFont="1" applyFill="1" applyBorder="1" applyAlignment="1">
      <alignment vertical="center" wrapText="1"/>
    </xf>
    <xf numFmtId="0" fontId="15" fillId="0" borderId="8" xfId="0" applyFont="1" applyFill="1" applyBorder="1" applyAlignment="1">
      <alignment horizontal="center" vertical="center" wrapText="1"/>
    </xf>
    <xf numFmtId="44" fontId="5" fillId="0" borderId="1" xfId="14" applyFont="1" applyFill="1" applyBorder="1" applyAlignment="1">
      <alignment horizontal="left" vertical="center" wrapText="1"/>
    </xf>
    <xf numFmtId="0" fontId="2" fillId="0" borderId="1" xfId="0" applyFont="1" applyFill="1" applyBorder="1" applyAlignment="1">
      <alignment horizontal="center" vertical="top" wrapText="1"/>
    </xf>
    <xf numFmtId="0" fontId="2" fillId="16" borderId="4" xfId="0" applyFont="1" applyFill="1" applyBorder="1" applyAlignment="1" applyProtection="1">
      <alignment horizontal="left" vertical="top" wrapText="1"/>
      <protection locked="0"/>
    </xf>
    <xf numFmtId="0" fontId="2" fillId="16" borderId="9" xfId="0" applyFont="1" applyFill="1" applyBorder="1" applyAlignment="1" applyProtection="1">
      <alignment horizontal="left" vertical="top" wrapText="1"/>
      <protection locked="0"/>
    </xf>
    <xf numFmtId="0" fontId="13" fillId="16" borderId="1" xfId="0" applyFont="1" applyFill="1" applyBorder="1" applyAlignment="1">
      <alignment horizontal="left" vertical="top" wrapText="1"/>
    </xf>
    <xf numFmtId="0" fontId="15" fillId="0" borderId="2" xfId="0" applyFont="1" applyFill="1" applyBorder="1" applyAlignment="1">
      <alignment horizontal="center" vertical="center" wrapText="1"/>
    </xf>
    <xf numFmtId="0" fontId="15" fillId="0" borderId="9" xfId="0" applyFont="1" applyFill="1" applyBorder="1" applyAlignment="1">
      <alignment horizontal="center" vertical="center" wrapText="1"/>
    </xf>
    <xf numFmtId="9" fontId="5" fillId="16" borderId="2" xfId="13" applyFont="1" applyFill="1" applyBorder="1" applyAlignment="1">
      <alignment horizontal="center" vertical="center" wrapText="1"/>
    </xf>
    <xf numFmtId="9" fontId="5" fillId="16" borderId="9" xfId="13"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9" xfId="0" applyFont="1" applyFill="1" applyBorder="1" applyAlignment="1">
      <alignment horizontal="center" vertical="center" wrapText="1"/>
    </xf>
    <xf numFmtId="9" fontId="5" fillId="0" borderId="2" xfId="13" applyFont="1" applyFill="1" applyBorder="1" applyAlignment="1">
      <alignment horizontal="center" vertical="center" wrapText="1"/>
    </xf>
    <xf numFmtId="9" fontId="5" fillId="0" borderId="9" xfId="13" applyFont="1" applyFill="1" applyBorder="1" applyAlignment="1">
      <alignment horizontal="center" vertical="center" wrapText="1"/>
    </xf>
    <xf numFmtId="44" fontId="5" fillId="0" borderId="2" xfId="14" applyFont="1" applyFill="1" applyBorder="1" applyAlignment="1">
      <alignment horizontal="center" vertical="center" wrapText="1"/>
    </xf>
    <xf numFmtId="44" fontId="5" fillId="0" borderId="9" xfId="14" applyFont="1" applyFill="1" applyBorder="1" applyAlignment="1">
      <alignment horizontal="center" vertical="center" wrapText="1"/>
    </xf>
    <xf numFmtId="44" fontId="2" fillId="0" borderId="2" xfId="14" applyFont="1" applyFill="1" applyBorder="1" applyAlignment="1">
      <alignment horizontal="center" vertical="center" wrapText="1"/>
    </xf>
    <xf numFmtId="44" fontId="2" fillId="0" borderId="9" xfId="14"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10" fontId="3" fillId="0" borderId="2" xfId="13" applyNumberFormat="1" applyFont="1" applyFill="1" applyBorder="1" applyAlignment="1">
      <alignment horizontal="center" vertical="center" wrapText="1"/>
    </xf>
    <xf numFmtId="10" fontId="3" fillId="0" borderId="8" xfId="13" applyNumberFormat="1" applyFont="1" applyFill="1" applyBorder="1" applyAlignment="1">
      <alignment horizontal="center" vertical="center" wrapText="1"/>
    </xf>
    <xf numFmtId="10" fontId="3" fillId="0" borderId="9" xfId="13" applyNumberFormat="1" applyFont="1" applyFill="1" applyBorder="1" applyAlignment="1">
      <alignment horizontal="center" vertical="center" wrapText="1"/>
    </xf>
    <xf numFmtId="43" fontId="3" fillId="16" borderId="2" xfId="12" applyFont="1" applyFill="1" applyBorder="1" applyAlignment="1">
      <alignment horizontal="center" vertical="center" wrapText="1"/>
    </xf>
    <xf numFmtId="43" fontId="3" fillId="16" borderId="8" xfId="12" applyFont="1" applyFill="1" applyBorder="1" applyAlignment="1">
      <alignment horizontal="center" vertical="center" wrapText="1"/>
    </xf>
    <xf numFmtId="43" fontId="3" fillId="16" borderId="9" xfId="12" applyFont="1" applyFill="1" applyBorder="1" applyAlignment="1">
      <alignment horizontal="center" vertical="center" wrapText="1"/>
    </xf>
    <xf numFmtId="0" fontId="2" fillId="0" borderId="8" xfId="0" applyFont="1" applyFill="1" applyBorder="1" applyAlignment="1">
      <alignment horizontal="center" vertical="center" wrapText="1"/>
    </xf>
    <xf numFmtId="9" fontId="2" fillId="0" borderId="2" xfId="13" applyFont="1" applyFill="1" applyBorder="1" applyAlignment="1">
      <alignment horizontal="center" vertical="center" wrapText="1"/>
    </xf>
    <xf numFmtId="9" fontId="2" fillId="0" borderId="8" xfId="13" applyFont="1" applyFill="1" applyBorder="1" applyAlignment="1">
      <alignment horizontal="center" vertical="center" wrapText="1"/>
    </xf>
    <xf numFmtId="9" fontId="2" fillId="0" borderId="9" xfId="13" applyFont="1" applyFill="1" applyBorder="1" applyAlignment="1">
      <alignment horizontal="center" vertical="center" wrapText="1"/>
    </xf>
    <xf numFmtId="172" fontId="2" fillId="0" borderId="2" xfId="13" applyNumberFormat="1" applyFont="1" applyFill="1" applyBorder="1" applyAlignment="1">
      <alignment horizontal="center" vertical="center" wrapText="1"/>
    </xf>
    <xf numFmtId="172" fontId="2" fillId="0" borderId="8" xfId="13" applyNumberFormat="1" applyFont="1" applyFill="1" applyBorder="1" applyAlignment="1">
      <alignment horizontal="center" vertical="center" wrapText="1"/>
    </xf>
    <xf numFmtId="172" fontId="2" fillId="0" borderId="9" xfId="13" applyNumberFormat="1" applyFont="1" applyFill="1" applyBorder="1" applyAlignment="1">
      <alignment horizontal="center" vertical="center" wrapText="1"/>
    </xf>
    <xf numFmtId="0" fontId="2" fillId="0" borderId="2"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16" borderId="2" xfId="0" applyFont="1" applyFill="1" applyBorder="1" applyAlignment="1">
      <alignment horizontal="center" vertical="top" wrapText="1"/>
    </xf>
    <xf numFmtId="0" fontId="2" fillId="16" borderId="8" xfId="0" applyFont="1" applyFill="1" applyBorder="1" applyAlignment="1">
      <alignment horizontal="center" vertical="top" wrapText="1"/>
    </xf>
    <xf numFmtId="0" fontId="2" fillId="16" borderId="9" xfId="0" applyFont="1" applyFill="1" applyBorder="1" applyAlignment="1">
      <alignment horizontal="center" vertical="top" wrapText="1"/>
    </xf>
    <xf numFmtId="172" fontId="2" fillId="16" borderId="2" xfId="13" applyNumberFormat="1" applyFont="1" applyFill="1" applyBorder="1" applyAlignment="1">
      <alignment horizontal="center" vertical="center" wrapText="1"/>
    </xf>
    <xf numFmtId="172" fontId="2" fillId="16" borderId="8" xfId="13" applyNumberFormat="1" applyFont="1" applyFill="1" applyBorder="1" applyAlignment="1">
      <alignment horizontal="center" vertical="center" wrapText="1"/>
    </xf>
    <xf numFmtId="172" fontId="2" fillId="16" borderId="9" xfId="13"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pplyProtection="1">
      <alignment horizontal="left" vertical="center" wrapText="1"/>
      <protection locked="0"/>
    </xf>
    <xf numFmtId="0" fontId="2" fillId="0" borderId="9" xfId="0" applyFont="1" applyFill="1" applyBorder="1" applyAlignment="1" applyProtection="1">
      <alignment horizontal="left" vertical="center" wrapText="1"/>
      <protection locked="0"/>
    </xf>
    <xf numFmtId="9" fontId="2" fillId="16" borderId="1" xfId="13" applyFont="1" applyFill="1" applyBorder="1" applyAlignment="1">
      <alignment horizontal="center" vertical="center" wrapText="1"/>
    </xf>
    <xf numFmtId="10" fontId="2" fillId="0" borderId="1" xfId="13" applyNumberFormat="1" applyFont="1" applyFill="1" applyBorder="1" applyAlignment="1">
      <alignment horizontal="center" vertical="center" wrapText="1"/>
    </xf>
    <xf numFmtId="0" fontId="2" fillId="0" borderId="2" xfId="0" applyFont="1" applyFill="1" applyBorder="1" applyAlignment="1">
      <alignment horizontal="left" vertical="top" wrapText="1"/>
    </xf>
    <xf numFmtId="0" fontId="2" fillId="0" borderId="9" xfId="0" applyFont="1" applyFill="1" applyBorder="1" applyAlignment="1">
      <alignment horizontal="left" vertical="top" wrapText="1"/>
    </xf>
    <xf numFmtId="9" fontId="2" fillId="0" borderId="2" xfId="13" applyNumberFormat="1" applyFont="1" applyFill="1" applyBorder="1" applyAlignment="1">
      <alignment horizontal="center" vertical="center" wrapText="1"/>
    </xf>
    <xf numFmtId="9" fontId="2" fillId="0" borderId="9" xfId="13" applyNumberFormat="1" applyFont="1" applyFill="1" applyBorder="1" applyAlignment="1">
      <alignment horizontal="center" vertical="center" wrapText="1"/>
    </xf>
    <xf numFmtId="9" fontId="2" fillId="0" borderId="2" xfId="13" applyFont="1" applyFill="1" applyBorder="1" applyAlignment="1" applyProtection="1">
      <alignment horizontal="center" vertical="center" wrapText="1"/>
      <protection locked="0"/>
    </xf>
    <xf numFmtId="9" fontId="2" fillId="0" borderId="9" xfId="13" applyFont="1" applyFill="1" applyBorder="1" applyAlignment="1" applyProtection="1">
      <alignment horizontal="center" vertical="center" wrapText="1"/>
      <protection locked="0"/>
    </xf>
    <xf numFmtId="9" fontId="2" fillId="16" borderId="2" xfId="13" applyFont="1" applyFill="1" applyBorder="1" applyAlignment="1" applyProtection="1">
      <alignment horizontal="center" vertical="center" wrapText="1"/>
      <protection locked="0"/>
    </xf>
    <xf numFmtId="9" fontId="2" fillId="16" borderId="9" xfId="13" applyFont="1" applyFill="1" applyBorder="1" applyAlignment="1" applyProtection="1">
      <alignment horizontal="center" vertical="center" wrapText="1"/>
      <protection locked="0"/>
    </xf>
    <xf numFmtId="9" fontId="3" fillId="9" borderId="1" xfId="13" applyFont="1" applyFill="1" applyBorder="1" applyAlignment="1">
      <alignment horizontal="center" vertical="center" wrapText="1"/>
    </xf>
    <xf numFmtId="10" fontId="2" fillId="9" borderId="1" xfId="13" applyNumberFormat="1" applyFont="1" applyFill="1" applyBorder="1" applyAlignment="1">
      <alignment horizontal="center" vertical="center" wrapText="1"/>
    </xf>
    <xf numFmtId="9" fontId="2" fillId="16" borderId="2" xfId="13" applyFont="1" applyFill="1" applyBorder="1" applyAlignment="1">
      <alignment horizontal="center" vertical="center" wrapText="1"/>
    </xf>
    <xf numFmtId="9" fontId="2" fillId="16" borderId="9" xfId="13" applyFont="1" applyFill="1" applyBorder="1" applyAlignment="1">
      <alignment horizontal="center" vertical="center" wrapText="1"/>
    </xf>
    <xf numFmtId="0" fontId="2" fillId="0" borderId="1" xfId="0" applyFont="1" applyFill="1" applyBorder="1" applyAlignment="1">
      <alignment horizontal="left" vertical="top" wrapText="1"/>
    </xf>
    <xf numFmtId="0" fontId="3" fillId="9" borderId="1" xfId="0" applyFont="1" applyFill="1" applyBorder="1" applyAlignment="1">
      <alignment horizontal="left" vertical="top" wrapText="1"/>
    </xf>
    <xf numFmtId="10" fontId="2" fillId="16" borderId="1" xfId="13" applyNumberFormat="1" applyFont="1" applyFill="1" applyBorder="1" applyAlignment="1">
      <alignment horizontal="center" vertical="center" wrapText="1"/>
    </xf>
    <xf numFmtId="9" fontId="2" fillId="0" borderId="1" xfId="13" applyFont="1" applyFill="1" applyBorder="1" applyAlignment="1">
      <alignment horizontal="center" vertical="center" wrapText="1"/>
    </xf>
    <xf numFmtId="9" fontId="2" fillId="16" borderId="2" xfId="12" applyNumberFormat="1" applyFont="1" applyFill="1" applyBorder="1" applyAlignment="1" applyProtection="1">
      <alignment horizontal="center" vertical="center" wrapText="1"/>
      <protection locked="0"/>
    </xf>
    <xf numFmtId="43" fontId="2" fillId="16" borderId="9" xfId="12" applyFont="1" applyFill="1" applyBorder="1" applyAlignment="1" applyProtection="1">
      <alignment horizontal="center" vertical="center" wrapText="1"/>
      <protection locked="0"/>
    </xf>
    <xf numFmtId="9" fontId="5" fillId="0" borderId="2" xfId="13" applyFont="1" applyFill="1" applyBorder="1" applyAlignment="1" applyProtection="1">
      <alignment horizontal="center" vertical="center" wrapText="1"/>
      <protection locked="0"/>
    </xf>
    <xf numFmtId="9" fontId="5" fillId="0" borderId="8" xfId="13" applyFont="1" applyFill="1" applyBorder="1" applyAlignment="1" applyProtection="1">
      <alignment horizontal="center" vertical="center" wrapText="1"/>
      <protection locked="0"/>
    </xf>
    <xf numFmtId="0" fontId="2" fillId="16" borderId="1" xfId="0" applyFont="1" applyFill="1" applyBorder="1" applyAlignment="1">
      <alignment horizontal="center" vertical="center" wrapText="1"/>
    </xf>
    <xf numFmtId="44" fontId="2" fillId="0" borderId="2" xfId="14" applyNumberFormat="1" applyFont="1" applyFill="1" applyBorder="1" applyAlignment="1">
      <alignment horizontal="center" vertical="center" wrapText="1"/>
    </xf>
    <xf numFmtId="44" fontId="2" fillId="0" borderId="8" xfId="14" applyNumberFormat="1" applyFont="1" applyFill="1" applyBorder="1" applyAlignment="1">
      <alignment horizontal="center" vertical="center" wrapText="1"/>
    </xf>
    <xf numFmtId="173" fontId="3" fillId="16" borderId="2" xfId="12" applyNumberFormat="1" applyFont="1" applyFill="1" applyBorder="1" applyAlignment="1">
      <alignment horizontal="center" vertical="center" wrapText="1"/>
    </xf>
    <xf numFmtId="173" fontId="3" fillId="16" borderId="9" xfId="12" applyNumberFormat="1" applyFont="1" applyFill="1" applyBorder="1" applyAlignment="1">
      <alignment horizontal="center" vertical="center" wrapText="1"/>
    </xf>
    <xf numFmtId="0" fontId="2" fillId="0" borderId="2"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top" wrapText="1"/>
      <protection locked="0"/>
    </xf>
    <xf numFmtId="0" fontId="2" fillId="0" borderId="9" xfId="0" applyFont="1" applyFill="1" applyBorder="1" applyAlignment="1" applyProtection="1">
      <alignment horizontal="left" vertical="top" wrapText="1"/>
      <protection locked="0"/>
    </xf>
    <xf numFmtId="9" fontId="3" fillId="13" borderId="1" xfId="13" applyFont="1" applyFill="1" applyBorder="1" applyAlignment="1">
      <alignment horizontal="center" vertical="center" wrapText="1"/>
    </xf>
    <xf numFmtId="9" fontId="5" fillId="0" borderId="12" xfId="13" applyFont="1" applyFill="1" applyBorder="1" applyAlignment="1" applyProtection="1">
      <alignment horizontal="center" vertical="center" wrapText="1"/>
      <protection locked="0"/>
    </xf>
    <xf numFmtId="9" fontId="5" fillId="0" borderId="11" xfId="13" applyFont="1" applyFill="1" applyBorder="1" applyAlignment="1" applyProtection="1">
      <alignment horizontal="center" vertical="center" wrapText="1"/>
      <protection locked="0"/>
    </xf>
    <xf numFmtId="9" fontId="5" fillId="0" borderId="13" xfId="13" applyFont="1" applyFill="1" applyBorder="1" applyAlignment="1" applyProtection="1">
      <alignment horizontal="center" vertical="center" wrapText="1"/>
      <protection locked="0"/>
    </xf>
    <xf numFmtId="44" fontId="5" fillId="0" borderId="8" xfId="14" applyFont="1" applyFill="1" applyBorder="1" applyAlignment="1">
      <alignment horizontal="center" vertical="center" wrapText="1"/>
    </xf>
    <xf numFmtId="0" fontId="2" fillId="9" borderId="2" xfId="0" quotePrefix="1" applyFont="1" applyFill="1" applyBorder="1" applyAlignment="1">
      <alignment horizontal="center" vertical="center" wrapText="1"/>
    </xf>
    <xf numFmtId="170" fontId="5" fillId="0" borderId="2" xfId="14" applyNumberFormat="1" applyFont="1" applyFill="1" applyBorder="1" applyAlignment="1">
      <alignment horizontal="center" vertical="center" wrapText="1"/>
    </xf>
    <xf numFmtId="170" fontId="5" fillId="0" borderId="9" xfId="14" applyNumberFormat="1" applyFont="1" applyFill="1" applyBorder="1" applyAlignment="1">
      <alignment horizontal="center" vertical="center" wrapText="1"/>
    </xf>
    <xf numFmtId="44" fontId="2" fillId="0" borderId="8" xfId="14" applyFont="1" applyFill="1" applyBorder="1" applyAlignment="1">
      <alignment horizontal="center" vertical="center" wrapText="1"/>
    </xf>
    <xf numFmtId="44" fontId="2" fillId="0" borderId="9" xfId="14" applyNumberFormat="1" applyFont="1" applyFill="1" applyBorder="1" applyAlignment="1">
      <alignment horizontal="center" vertical="center" wrapText="1"/>
    </xf>
    <xf numFmtId="170" fontId="5" fillId="0" borderId="8" xfId="14"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9" xfId="0" applyFont="1" applyFill="1" applyBorder="1" applyAlignment="1">
      <alignment horizontal="center" vertical="center" wrapText="1"/>
    </xf>
    <xf numFmtId="9" fontId="2" fillId="13" borderId="2" xfId="13" applyFont="1" applyFill="1" applyBorder="1" applyAlignment="1">
      <alignment horizontal="center" vertical="center" wrapText="1"/>
    </xf>
    <xf numFmtId="9" fontId="2" fillId="13" borderId="8" xfId="13" applyFont="1" applyFill="1" applyBorder="1" applyAlignment="1">
      <alignment horizontal="center" vertical="center" wrapText="1"/>
    </xf>
    <xf numFmtId="9" fontId="2" fillId="13" borderId="9" xfId="13" applyFont="1" applyFill="1" applyBorder="1" applyAlignment="1">
      <alignment horizontal="center" vertical="center" wrapText="1"/>
    </xf>
    <xf numFmtId="0" fontId="2" fillId="10" borderId="8" xfId="0" quotePrefix="1" applyFont="1" applyFill="1" applyBorder="1" applyAlignment="1">
      <alignment horizontal="center" vertical="center" wrapText="1"/>
    </xf>
    <xf numFmtId="9" fontId="5" fillId="0" borderId="9" xfId="13" applyFont="1" applyFill="1" applyBorder="1" applyAlignment="1" applyProtection="1">
      <alignment horizontal="center" vertical="center" wrapText="1"/>
      <protection locked="0"/>
    </xf>
    <xf numFmtId="0" fontId="2" fillId="12" borderId="2" xfId="0" applyFont="1" applyFill="1" applyBorder="1" applyAlignment="1">
      <alignment horizontal="center" vertical="center" wrapText="1"/>
    </xf>
    <xf numFmtId="0" fontId="2" fillId="12" borderId="9" xfId="0" applyFont="1" applyFill="1" applyBorder="1" applyAlignment="1">
      <alignment horizontal="center" vertical="center" wrapText="1"/>
    </xf>
    <xf numFmtId="10" fontId="2" fillId="0" borderId="2" xfId="13" applyNumberFormat="1" applyFont="1" applyFill="1" applyBorder="1" applyAlignment="1">
      <alignment horizontal="center" vertical="center" wrapText="1"/>
    </xf>
    <xf numFmtId="10" fontId="2" fillId="0" borderId="9" xfId="13" applyNumberFormat="1" applyFont="1" applyFill="1" applyBorder="1" applyAlignment="1">
      <alignment horizontal="center" vertical="center" wrapText="1"/>
    </xf>
    <xf numFmtId="0" fontId="2" fillId="13" borderId="1" xfId="0" applyFont="1" applyFill="1" applyBorder="1" applyAlignment="1">
      <alignment horizontal="center" vertical="center" wrapText="1"/>
    </xf>
    <xf numFmtId="172" fontId="2" fillId="0" borderId="1" xfId="13" applyNumberFormat="1" applyFont="1" applyFill="1" applyBorder="1" applyAlignment="1">
      <alignment horizontal="center" vertical="center" wrapText="1"/>
    </xf>
    <xf numFmtId="172" fontId="2" fillId="16" borderId="1" xfId="13" applyNumberFormat="1" applyFont="1" applyFill="1" applyBorder="1" applyAlignment="1">
      <alignment horizontal="center" vertical="center" wrapText="1"/>
    </xf>
    <xf numFmtId="9" fontId="2" fillId="3" borderId="8" xfId="13" applyFont="1" applyFill="1" applyBorder="1" applyAlignment="1">
      <alignment horizontal="center" vertical="center" wrapText="1"/>
    </xf>
    <xf numFmtId="9" fontId="2" fillId="3" borderId="9" xfId="13"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2" fillId="13" borderId="9" xfId="0" applyFont="1" applyFill="1" applyBorder="1" applyAlignment="1">
      <alignment horizontal="center" vertical="center" wrapText="1"/>
    </xf>
    <xf numFmtId="0" fontId="2" fillId="13" borderId="8" xfId="0"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9" fontId="3" fillId="0" borderId="8" xfId="0" applyNumberFormat="1" applyFont="1" applyFill="1" applyBorder="1" applyAlignment="1">
      <alignment horizontal="center" vertical="center" wrapText="1"/>
    </xf>
    <xf numFmtId="9" fontId="3" fillId="0" borderId="9"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3" fillId="3" borderId="2"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44" fontId="5" fillId="0" borderId="8" xfId="14" applyFont="1" applyFill="1" applyBorder="1" applyAlignment="1" applyProtection="1">
      <alignment horizontal="center" vertical="center" wrapText="1"/>
      <protection locked="0"/>
    </xf>
    <xf numFmtId="44" fontId="5" fillId="0" borderId="9" xfId="14" applyFont="1" applyFill="1" applyBorder="1" applyAlignment="1" applyProtection="1">
      <alignment horizontal="center" vertical="center" wrapText="1"/>
      <protection locked="0"/>
    </xf>
    <xf numFmtId="9" fontId="2" fillId="13" borderId="1" xfId="13"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5" borderId="2" xfId="0" applyFont="1" applyFill="1" applyBorder="1" applyAlignment="1" applyProtection="1">
      <alignment horizontal="center" vertical="center" wrapText="1"/>
      <protection locked="0"/>
    </xf>
    <xf numFmtId="0" fontId="6" fillId="5" borderId="9"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9" fontId="3" fillId="0" borderId="8" xfId="13" applyFont="1" applyFill="1" applyBorder="1" applyAlignment="1">
      <alignment horizontal="center" vertical="center" wrapText="1"/>
    </xf>
    <xf numFmtId="9" fontId="3" fillId="0" borderId="9" xfId="13" applyFont="1" applyFill="1" applyBorder="1" applyAlignment="1">
      <alignment horizontal="center" vertical="center" wrapText="1"/>
    </xf>
    <xf numFmtId="0" fontId="12" fillId="0" borderId="8"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6" fillId="3" borderId="7" xfId="1" applyFont="1" applyFill="1" applyBorder="1" applyAlignment="1" applyProtection="1">
      <alignment horizontal="center" vertical="center"/>
      <protection locked="0"/>
    </xf>
    <xf numFmtId="0" fontId="6" fillId="3" borderId="10" xfId="1"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172" fontId="2" fillId="0" borderId="2" xfId="13" applyNumberFormat="1" applyFont="1" applyFill="1" applyBorder="1" applyAlignment="1" applyProtection="1">
      <alignment horizontal="center" vertical="center" wrapText="1"/>
      <protection locked="0"/>
    </xf>
    <xf numFmtId="172" fontId="2" fillId="0" borderId="9" xfId="13" applyNumberFormat="1" applyFont="1" applyFill="1" applyBorder="1" applyAlignment="1" applyProtection="1">
      <alignment horizontal="center" vertical="center" wrapText="1"/>
      <protection locked="0"/>
    </xf>
    <xf numFmtId="0" fontId="3" fillId="13" borderId="2" xfId="0" applyFont="1" applyFill="1" applyBorder="1" applyAlignment="1">
      <alignment horizontal="center" vertical="center" wrapText="1"/>
    </xf>
    <xf numFmtId="0" fontId="3" fillId="13" borderId="9" xfId="0" applyFont="1" applyFill="1" applyBorder="1" applyAlignment="1">
      <alignment horizontal="center" vertical="center" wrapText="1"/>
    </xf>
    <xf numFmtId="0" fontId="3" fillId="13" borderId="8" xfId="0" applyFont="1" applyFill="1" applyBorder="1" applyAlignment="1">
      <alignment horizontal="center" vertical="center" wrapText="1"/>
    </xf>
    <xf numFmtId="0" fontId="6" fillId="3" borderId="1" xfId="1" applyFont="1" applyFill="1" applyBorder="1" applyAlignment="1" applyProtection="1">
      <alignment horizontal="center" vertical="center" wrapText="1"/>
      <protection locked="0"/>
    </xf>
    <xf numFmtId="0" fontId="3" fillId="3" borderId="1" xfId="1" applyFont="1" applyFill="1" applyBorder="1" applyAlignment="1" applyProtection="1">
      <alignment horizontal="center" vertical="center" wrapText="1"/>
      <protection locked="0"/>
    </xf>
    <xf numFmtId="0" fontId="6" fillId="3" borderId="2" xfId="1" applyFont="1" applyFill="1" applyBorder="1" applyAlignment="1" applyProtection="1">
      <alignment horizontal="center" vertical="center" wrapText="1"/>
      <protection locked="0"/>
    </xf>
    <xf numFmtId="0" fontId="6" fillId="3" borderId="9" xfId="1" applyFont="1" applyFill="1" applyBorder="1" applyAlignment="1" applyProtection="1">
      <alignment horizontal="center" vertical="center" wrapText="1"/>
      <protection locked="0"/>
    </xf>
    <xf numFmtId="9" fontId="6" fillId="3" borderId="1" xfId="1" applyNumberFormat="1"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9" fontId="6" fillId="3" borderId="3" xfId="0" applyNumberFormat="1" applyFont="1" applyFill="1" applyBorder="1" applyAlignment="1" applyProtection="1">
      <alignment horizontal="center" vertical="center" wrapText="1"/>
      <protection locked="0"/>
    </xf>
    <xf numFmtId="9" fontId="6" fillId="3" borderId="0" xfId="0" applyNumberFormat="1" applyFont="1" applyFill="1" applyBorder="1" applyAlignment="1" applyProtection="1">
      <alignment horizontal="center" vertical="center" wrapText="1"/>
      <protection locked="0"/>
    </xf>
    <xf numFmtId="167" fontId="6" fillId="3" borderId="1" xfId="0" applyNumberFormat="1" applyFont="1" applyFill="1" applyBorder="1" applyAlignment="1" applyProtection="1">
      <alignment horizontal="center" vertical="center" wrapText="1"/>
      <protection locked="0"/>
    </xf>
    <xf numFmtId="167" fontId="5" fillId="3" borderId="1" xfId="0" applyNumberFormat="1" applyFont="1" applyFill="1" applyBorder="1" applyAlignment="1" applyProtection="1">
      <alignment horizontal="center" vertical="center" wrapText="1"/>
      <protection locked="0"/>
    </xf>
    <xf numFmtId="167" fontId="5" fillId="3" borderId="2" xfId="0" applyNumberFormat="1"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168" fontId="6" fillId="3" borderId="1" xfId="0" applyNumberFormat="1" applyFont="1" applyFill="1" applyBorder="1" applyAlignment="1" applyProtection="1">
      <alignment horizontal="center" vertical="center" wrapText="1"/>
      <protection locked="0"/>
    </xf>
    <xf numFmtId="168" fontId="5" fillId="3" borderId="2" xfId="0" applyNumberFormat="1" applyFont="1" applyFill="1" applyBorder="1" applyAlignment="1" applyProtection="1">
      <alignment horizontal="center" vertical="center" wrapText="1"/>
      <protection locked="0"/>
    </xf>
    <xf numFmtId="9" fontId="3" fillId="0" borderId="1" xfId="13" applyFont="1" applyFill="1" applyBorder="1" applyAlignment="1">
      <alignment horizontal="center" vertical="center" wrapText="1"/>
    </xf>
    <xf numFmtId="9" fontId="3" fillId="0" borderId="2" xfId="12" applyNumberFormat="1" applyFont="1" applyFill="1" applyBorder="1" applyAlignment="1">
      <alignment horizontal="center" vertical="center" wrapText="1"/>
    </xf>
    <xf numFmtId="9" fontId="3" fillId="0" borderId="8" xfId="12" applyNumberFormat="1" applyFont="1" applyFill="1" applyBorder="1" applyAlignment="1">
      <alignment horizontal="center" vertical="center" wrapText="1"/>
    </xf>
    <xf numFmtId="9" fontId="3" fillId="0" borderId="9" xfId="12" applyNumberFormat="1" applyFont="1" applyFill="1" applyBorder="1" applyAlignment="1">
      <alignment horizontal="center" vertical="center" wrapText="1"/>
    </xf>
    <xf numFmtId="9" fontId="3" fillId="0" borderId="9" xfId="13" applyNumberFormat="1" applyFont="1" applyFill="1" applyBorder="1" applyAlignment="1">
      <alignment horizontal="center" vertical="center" wrapText="1"/>
    </xf>
    <xf numFmtId="9" fontId="3" fillId="0" borderId="1" xfId="13" applyNumberFormat="1" applyFont="1" applyFill="1" applyBorder="1" applyAlignment="1">
      <alignment horizontal="center" vertical="center" wrapText="1"/>
    </xf>
    <xf numFmtId="172" fontId="3" fillId="0" borderId="9" xfId="13" applyNumberFormat="1" applyFont="1" applyFill="1" applyBorder="1" applyAlignment="1">
      <alignment horizontal="center" vertical="center" wrapText="1"/>
    </xf>
    <xf numFmtId="172" fontId="3" fillId="0" borderId="1" xfId="13" applyNumberFormat="1" applyFont="1" applyFill="1" applyBorder="1" applyAlignment="1">
      <alignment horizontal="center" vertical="center" wrapText="1"/>
    </xf>
    <xf numFmtId="9" fontId="3" fillId="0" borderId="2" xfId="13" applyFont="1" applyFill="1" applyBorder="1" applyAlignment="1">
      <alignment horizontal="center" vertical="center" wrapText="1"/>
    </xf>
    <xf numFmtId="43" fontId="3" fillId="16" borderId="1" xfId="12" applyFont="1" applyFill="1" applyBorder="1" applyAlignment="1">
      <alignment horizontal="center" vertical="center" wrapText="1"/>
    </xf>
    <xf numFmtId="43" fontId="3" fillId="16" borderId="2" xfId="12" applyFont="1" applyFill="1" applyBorder="1" applyAlignment="1" applyProtection="1">
      <alignment horizontal="center" vertical="center" wrapText="1"/>
      <protection locked="0"/>
    </xf>
    <xf numFmtId="43" fontId="3" fillId="16" borderId="8" xfId="12" applyFont="1" applyFill="1" applyBorder="1" applyAlignment="1" applyProtection="1">
      <alignment horizontal="center" vertical="center" wrapText="1"/>
      <protection locked="0"/>
    </xf>
    <xf numFmtId="43" fontId="3" fillId="16" borderId="9" xfId="12" applyFont="1" applyFill="1" applyBorder="1" applyAlignment="1" applyProtection="1">
      <alignment horizontal="center" vertical="center" wrapText="1"/>
      <protection locked="0"/>
    </xf>
    <xf numFmtId="9" fontId="3" fillId="0" borderId="2" xfId="12" applyNumberFormat="1" applyFont="1" applyFill="1" applyBorder="1" applyAlignment="1" applyProtection="1">
      <alignment horizontal="center" vertical="center" wrapText="1"/>
      <protection locked="0"/>
    </xf>
    <xf numFmtId="9" fontId="3" fillId="0" borderId="8" xfId="12" applyNumberFormat="1" applyFont="1" applyFill="1" applyBorder="1" applyAlignment="1" applyProtection="1">
      <alignment horizontal="center" vertical="center" wrapText="1"/>
      <protection locked="0"/>
    </xf>
    <xf numFmtId="9" fontId="3" fillId="0" borderId="9" xfId="12" applyNumberFormat="1" applyFont="1" applyFill="1" applyBorder="1" applyAlignment="1" applyProtection="1">
      <alignment horizontal="center" vertical="center" wrapText="1"/>
      <protection locked="0"/>
    </xf>
    <xf numFmtId="9" fontId="3" fillId="0" borderId="2" xfId="13" applyNumberFormat="1" applyFont="1" applyFill="1" applyBorder="1" applyAlignment="1" applyProtection="1">
      <alignment horizontal="center" vertical="center" wrapText="1"/>
      <protection locked="0"/>
    </xf>
    <xf numFmtId="9" fontId="3" fillId="0" borderId="8" xfId="13" applyNumberFormat="1" applyFont="1" applyFill="1" applyBorder="1" applyAlignment="1" applyProtection="1">
      <alignment horizontal="center" vertical="center" wrapText="1"/>
      <protection locked="0"/>
    </xf>
    <xf numFmtId="9" fontId="3" fillId="0" borderId="9" xfId="13" applyNumberFormat="1" applyFont="1" applyFill="1" applyBorder="1" applyAlignment="1" applyProtection="1">
      <alignment horizontal="center" vertical="center" wrapText="1"/>
      <protection locked="0"/>
    </xf>
    <xf numFmtId="171" fontId="3" fillId="16" borderId="2" xfId="12" applyNumberFormat="1" applyFont="1" applyFill="1" applyBorder="1" applyAlignment="1">
      <alignment horizontal="center" vertical="center" wrapText="1"/>
    </xf>
    <xf numFmtId="171" fontId="3" fillId="16" borderId="8" xfId="12" applyNumberFormat="1" applyFont="1" applyFill="1" applyBorder="1" applyAlignment="1">
      <alignment horizontal="center" vertical="center" wrapText="1"/>
    </xf>
    <xf numFmtId="171" fontId="3" fillId="16" borderId="9" xfId="12" applyNumberFormat="1" applyFont="1" applyFill="1" applyBorder="1" applyAlignment="1">
      <alignment horizontal="center" vertical="center" wrapText="1"/>
    </xf>
    <xf numFmtId="0" fontId="2" fillId="0" borderId="8" xfId="0" quotePrefix="1"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15" borderId="1" xfId="0" quotePrefix="1" applyFont="1" applyFill="1" applyBorder="1" applyAlignment="1">
      <alignment horizontal="center" vertical="center" wrapText="1"/>
    </xf>
    <xf numFmtId="0" fontId="2" fillId="0" borderId="2" xfId="0" quotePrefix="1" applyFont="1" applyFill="1" applyBorder="1" applyAlignment="1">
      <alignment horizontal="center" vertical="center" wrapText="1"/>
    </xf>
    <xf numFmtId="0" fontId="2" fillId="0" borderId="8" xfId="0" quotePrefix="1" applyFont="1" applyFill="1" applyBorder="1" applyAlignment="1">
      <alignment horizontal="center" vertical="center" wrapText="1"/>
    </xf>
    <xf numFmtId="0" fontId="2" fillId="0" borderId="9" xfId="0" quotePrefix="1" applyFont="1" applyFill="1" applyBorder="1" applyAlignment="1">
      <alignment horizontal="center" vertical="center" wrapText="1"/>
    </xf>
    <xf numFmtId="44" fontId="2" fillId="0" borderId="8" xfId="14" applyFont="1" applyFill="1" applyBorder="1" applyAlignment="1" applyProtection="1">
      <alignment horizontal="center" vertical="center" wrapText="1"/>
      <protection locked="0"/>
    </xf>
    <xf numFmtId="44" fontId="2" fillId="0" borderId="9" xfId="14" applyFont="1" applyFill="1" applyBorder="1" applyAlignment="1" applyProtection="1">
      <alignment horizontal="center" vertical="center" wrapText="1"/>
      <protection locked="0"/>
    </xf>
    <xf numFmtId="9" fontId="5" fillId="16" borderId="2" xfId="13" applyFont="1" applyFill="1" applyBorder="1" applyAlignment="1" applyProtection="1">
      <alignment horizontal="center" vertical="center" wrapText="1"/>
      <protection locked="0"/>
    </xf>
    <xf numFmtId="9" fontId="5" fillId="16" borderId="8" xfId="13" applyFont="1" applyFill="1" applyBorder="1" applyAlignment="1" applyProtection="1">
      <alignment horizontal="center" vertical="center" wrapText="1"/>
      <protection locked="0"/>
    </xf>
    <xf numFmtId="9" fontId="5" fillId="16" borderId="9" xfId="13" applyFont="1" applyFill="1" applyBorder="1" applyAlignment="1" applyProtection="1">
      <alignment horizontal="center" vertical="center" wrapText="1"/>
      <protection locked="0"/>
    </xf>
    <xf numFmtId="0" fontId="5" fillId="16" borderId="2" xfId="0" applyFont="1" applyFill="1" applyBorder="1" applyAlignment="1">
      <alignment horizontal="center" vertical="center" wrapText="1"/>
    </xf>
    <xf numFmtId="0" fontId="5" fillId="16" borderId="9" xfId="0" applyFont="1" applyFill="1" applyBorder="1" applyAlignment="1">
      <alignment horizontal="center" vertical="center" wrapText="1"/>
    </xf>
    <xf numFmtId="0" fontId="2" fillId="0" borderId="1" xfId="0" quotePrefix="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16" borderId="2" xfId="0" applyFont="1" applyFill="1" applyBorder="1" applyAlignment="1" applyProtection="1">
      <alignment horizontal="left" vertical="top" wrapText="1"/>
      <protection locked="0"/>
    </xf>
    <xf numFmtId="0" fontId="2" fillId="16" borderId="9" xfId="0" applyFont="1" applyFill="1" applyBorder="1" applyAlignment="1" applyProtection="1">
      <alignment horizontal="left" vertical="top" wrapText="1"/>
      <protection locked="0"/>
    </xf>
    <xf numFmtId="0" fontId="2" fillId="16" borderId="1" xfId="0" applyFont="1" applyFill="1" applyBorder="1" applyAlignment="1">
      <alignment horizontal="left" vertical="top" wrapText="1"/>
    </xf>
    <xf numFmtId="0" fontId="2" fillId="16" borderId="2" xfId="0" applyFont="1" applyFill="1" applyBorder="1" applyAlignment="1">
      <alignment horizontal="left" vertical="top" wrapText="1"/>
    </xf>
    <xf numFmtId="0" fontId="2" fillId="16" borderId="9" xfId="0" applyFont="1" applyFill="1" applyBorder="1" applyAlignment="1">
      <alignment horizontal="left" vertical="top" wrapText="1"/>
    </xf>
    <xf numFmtId="9" fontId="2" fillId="16" borderId="1" xfId="13" applyFont="1" applyFill="1" applyBorder="1" applyAlignment="1">
      <alignment horizontal="left" vertical="top" wrapText="1"/>
    </xf>
    <xf numFmtId="9" fontId="2" fillId="16" borderId="2" xfId="13" applyFont="1" applyFill="1" applyBorder="1" applyAlignment="1" applyProtection="1">
      <alignment horizontal="center" vertical="top" wrapText="1"/>
      <protection locked="0"/>
    </xf>
    <xf numFmtId="9" fontId="2" fillId="16" borderId="9" xfId="13" applyFont="1" applyFill="1" applyBorder="1" applyAlignment="1" applyProtection="1">
      <alignment horizontal="center" vertical="top" wrapText="1"/>
      <protection locked="0"/>
    </xf>
    <xf numFmtId="9" fontId="3" fillId="16" borderId="2" xfId="13" applyFont="1" applyFill="1" applyBorder="1" applyAlignment="1">
      <alignment horizontal="center" vertical="center" wrapText="1"/>
    </xf>
    <xf numFmtId="9" fontId="3" fillId="16" borderId="9" xfId="13"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9" xfId="0" applyFont="1" applyFill="1" applyBorder="1" applyAlignment="1">
      <alignment horizontal="left" vertical="center" wrapText="1"/>
    </xf>
    <xf numFmtId="0" fontId="2" fillId="16" borderId="2" xfId="0" applyFont="1" applyFill="1" applyBorder="1" applyAlignment="1">
      <alignment horizontal="center" vertical="center" wrapText="1"/>
    </xf>
    <xf numFmtId="0" fontId="2" fillId="16" borderId="9" xfId="0" applyFont="1" applyFill="1" applyBorder="1" applyAlignment="1">
      <alignment horizontal="center" vertical="center" wrapText="1"/>
    </xf>
    <xf numFmtId="172" fontId="3" fillId="2" borderId="2" xfId="13" applyNumberFormat="1" applyFont="1" applyFill="1" applyBorder="1" applyAlignment="1">
      <alignment horizontal="center" vertical="center" wrapText="1"/>
    </xf>
    <xf numFmtId="172" fontId="3" fillId="2" borderId="9" xfId="13" applyNumberFormat="1" applyFont="1" applyFill="1" applyBorder="1" applyAlignment="1">
      <alignment horizontal="center" vertical="center" wrapText="1"/>
    </xf>
  </cellXfs>
  <cellStyles count="16">
    <cellStyle name="Millares" xfId="12" builtinId="3"/>
    <cellStyle name="Millares [0] 2" xfId="15"/>
    <cellStyle name="Millares 2" xfId="5"/>
    <cellStyle name="Millares 2 2" xfId="6"/>
    <cellStyle name="Millares 3" xfId="8"/>
    <cellStyle name="Millares 4" xfId="9"/>
    <cellStyle name="Moneda" xfId="14" builtinId="4"/>
    <cellStyle name="Moneda 2" xfId="2"/>
    <cellStyle name="Moneda 3" xfId="7"/>
    <cellStyle name="Moneda 4" xfId="10"/>
    <cellStyle name="Normal" xfId="0" builtinId="0"/>
    <cellStyle name="Normal 2" xfId="1"/>
    <cellStyle name="Normal 3" xfId="3"/>
    <cellStyle name="Normal 7" xfId="11"/>
    <cellStyle name="Porcentaje" xfId="13" builtinId="5"/>
    <cellStyle name="Porcentaje 2" xfId="4"/>
  </cellStyles>
  <dxfs count="0"/>
  <tableStyles count="0" defaultTableStyle="TableStyleMedium2" defaultPivotStyle="PivotStyleLight16"/>
  <colors>
    <mruColors>
      <color rgb="FFFFFF99"/>
      <color rgb="FF00FF00"/>
      <color rgb="FFCC99FF"/>
      <color rgb="FF66CCFF"/>
      <color rgb="FF66FF66"/>
      <color rgb="FFFF9999"/>
      <color rgb="FF00FFFF"/>
      <color rgb="FFFFFFCC"/>
      <color rgb="FF9999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la047\Downloads\Users\Usuario\Desktop\PLAN_INVERSIONES_2_P.D.xlsx(VERSION_ANTONIO%2021%20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sheetName val="MODIFICADO 25 NOV"/>
      <sheetName val="MODIFICADO 24 FEB (12)"/>
      <sheetName val="PTO 24 FEB"/>
      <sheetName val=" EGRE SEC CENT"/>
      <sheetName val="ING SEC CENT"/>
      <sheetName val="PROYECTOS ESTRATEGICOS"/>
      <sheetName val="Gastos_Inversión_2012"/>
      <sheetName val="RESUMEN"/>
      <sheetName val="POAI 2012-2015"/>
      <sheetName val="POR SECTORES EJECUTADO 31 DE M"/>
      <sheetName val="Analisis de alternativas"/>
      <sheetName val="ftes y usos"/>
      <sheetName val="Deuda"/>
      <sheetName val="SGP"/>
      <sheetName val="INDICADORES DEUDA"/>
      <sheetName val="Hoja3"/>
      <sheetName val="Hoja2"/>
    </sheetNames>
    <sheetDataSet>
      <sheetData sheetId="0" refreshError="1"/>
      <sheetData sheetId="1" refreshError="1"/>
      <sheetData sheetId="2" refreshError="1"/>
      <sheetData sheetId="3" refreshError="1"/>
      <sheetData sheetId="4">
        <row r="102">
          <cell r="AA102">
            <v>219902577500</v>
          </cell>
        </row>
      </sheetData>
      <sheetData sheetId="5">
        <row r="5">
          <cell r="Z5">
            <v>127071249624</v>
          </cell>
        </row>
      </sheetData>
      <sheetData sheetId="6">
        <row r="29">
          <cell r="G29">
            <v>301227119205.59802</v>
          </cell>
        </row>
      </sheetData>
      <sheetData sheetId="7"/>
      <sheetData sheetId="8" refreshError="1"/>
      <sheetData sheetId="9">
        <row r="449">
          <cell r="Z449">
            <v>280820231681</v>
          </cell>
        </row>
      </sheetData>
      <sheetData sheetId="10">
        <row r="437">
          <cell r="M437">
            <v>16651493620</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120"/>
  <sheetViews>
    <sheetView tabSelected="1" topLeftCell="I1" zoomScale="70" zoomScaleNormal="70" workbookViewId="0">
      <pane ySplit="6" topLeftCell="A62" activePane="bottomLeft" state="frozen"/>
      <selection pane="bottomLeft" activeCell="Q70" sqref="Q70"/>
    </sheetView>
  </sheetViews>
  <sheetFormatPr baseColWidth="10" defaultColWidth="11.42578125" defaultRowHeight="12.75" x14ac:dyDescent="0.2"/>
  <cols>
    <col min="1" max="1" width="11.5703125" style="23" customWidth="1"/>
    <col min="2" max="2" width="27.5703125" style="23" customWidth="1"/>
    <col min="3" max="3" width="23.5703125" style="27" customWidth="1"/>
    <col min="4" max="4" width="7.5703125" style="23" customWidth="1"/>
    <col min="5" max="5" width="20.5703125" style="28" bestFit="1" customWidth="1"/>
    <col min="6" max="6" width="9.5703125" style="23" bestFit="1" customWidth="1"/>
    <col min="7" max="7" width="49.28515625" style="27" customWidth="1"/>
    <col min="8" max="8" width="8.28515625" style="27" customWidth="1"/>
    <col min="9" max="9" width="13.140625" style="28" customWidth="1"/>
    <col min="10" max="10" width="11.28515625" style="27" customWidth="1"/>
    <col min="11" max="11" width="10.140625" style="27" customWidth="1"/>
    <col min="12" max="12" width="15.28515625" style="28" customWidth="1"/>
    <col min="13" max="13" width="14.140625" style="28" customWidth="1"/>
    <col min="14" max="14" width="12.28515625" style="148" customWidth="1"/>
    <col min="15" max="15" width="17.5703125" style="28" customWidth="1"/>
    <col min="16" max="16" width="17.7109375" style="31" customWidth="1"/>
    <col min="17" max="17" width="56" style="27" customWidth="1"/>
    <col min="18" max="18" width="13.7109375" style="28" customWidth="1"/>
    <col min="19" max="19" width="9.85546875" style="27" customWidth="1"/>
    <col min="20" max="21" width="10.85546875" style="27" customWidth="1"/>
    <col min="22" max="22" width="12.85546875" style="27" customWidth="1"/>
    <col min="23" max="23" width="10.42578125" style="27" customWidth="1"/>
    <col min="24" max="24" width="15.28515625" style="28" customWidth="1"/>
    <col min="25" max="25" width="57.85546875" style="27" customWidth="1"/>
    <col min="26" max="26" width="21.28515625" style="27" customWidth="1"/>
    <col min="27" max="28" width="20.28515625" style="27" customWidth="1"/>
    <col min="29" max="29" width="29.42578125" style="27" customWidth="1"/>
    <col min="30" max="30" width="28.28515625" style="34" customWidth="1"/>
    <col min="31" max="31" width="27.28515625" style="27" customWidth="1"/>
    <col min="32" max="32" width="24.5703125" style="27" customWidth="1"/>
    <col min="33" max="33" width="23.42578125" style="27" customWidth="1"/>
    <col min="34" max="34" width="20.28515625" style="27" customWidth="1"/>
    <col min="35" max="35" width="23.42578125" style="27" customWidth="1"/>
    <col min="36" max="36" width="20.28515625" style="27" customWidth="1"/>
    <col min="37" max="37" width="31" style="29" customWidth="1"/>
    <col min="38" max="39" width="20.28515625" style="27" customWidth="1"/>
    <col min="40" max="16384" width="11.42578125" style="23"/>
  </cols>
  <sheetData>
    <row r="1" spans="1:39" ht="21.75" hidden="1" customHeight="1" x14ac:dyDescent="0.25">
      <c r="B1" s="1" t="s">
        <v>6</v>
      </c>
      <c r="C1" s="30">
        <v>2020</v>
      </c>
      <c r="D1" s="2"/>
      <c r="E1" s="25"/>
      <c r="F1" s="2"/>
      <c r="G1" s="3"/>
      <c r="H1" s="3"/>
      <c r="I1" s="25"/>
      <c r="J1" s="3"/>
      <c r="K1" s="3"/>
      <c r="L1" s="25"/>
      <c r="M1" s="25"/>
      <c r="N1" s="149"/>
      <c r="O1" s="25"/>
      <c r="P1" s="32"/>
      <c r="Q1" s="3"/>
      <c r="R1" s="25"/>
      <c r="S1" s="3"/>
      <c r="T1" s="3"/>
      <c r="U1" s="3"/>
      <c r="V1" s="3"/>
      <c r="W1" s="3"/>
      <c r="X1" s="25"/>
      <c r="Y1" s="3"/>
      <c r="Z1" s="3"/>
      <c r="AA1" s="3"/>
      <c r="AB1" s="3"/>
      <c r="AC1" s="3"/>
      <c r="AD1" s="35"/>
      <c r="AE1" s="3"/>
      <c r="AF1" s="3"/>
      <c r="AG1" s="3"/>
      <c r="AH1" s="3"/>
      <c r="AI1" s="3"/>
      <c r="AJ1" s="3"/>
      <c r="AK1" s="4"/>
      <c r="AL1" s="3"/>
      <c r="AM1" s="5"/>
    </row>
    <row r="2" spans="1:39" ht="22.5" hidden="1" customHeight="1" x14ac:dyDescent="0.25">
      <c r="B2" s="1" t="s">
        <v>7</v>
      </c>
      <c r="C2" s="30" t="s">
        <v>34</v>
      </c>
      <c r="D2" s="6"/>
      <c r="E2" s="26"/>
      <c r="F2" s="6"/>
      <c r="G2" s="7"/>
      <c r="H2" s="7"/>
      <c r="I2" s="26"/>
      <c r="J2" s="7"/>
      <c r="K2" s="7"/>
      <c r="L2" s="26"/>
      <c r="M2" s="26"/>
      <c r="N2" s="150"/>
      <c r="O2" s="26"/>
      <c r="P2" s="33"/>
      <c r="Q2" s="7"/>
      <c r="R2" s="26"/>
      <c r="S2" s="7"/>
      <c r="T2" s="7"/>
      <c r="U2" s="7"/>
      <c r="V2" s="7"/>
      <c r="W2" s="7"/>
      <c r="X2" s="26"/>
      <c r="Y2" s="7"/>
      <c r="Z2" s="7"/>
      <c r="AA2" s="7"/>
      <c r="AB2" s="7"/>
      <c r="AC2" s="7"/>
      <c r="AD2" s="36"/>
      <c r="AE2" s="7"/>
      <c r="AF2" s="7"/>
      <c r="AG2" s="7"/>
      <c r="AH2" s="7"/>
      <c r="AI2" s="7"/>
      <c r="AJ2" s="7"/>
      <c r="AK2" s="8"/>
      <c r="AL2" s="7"/>
      <c r="AM2" s="9"/>
    </row>
    <row r="3" spans="1:39" ht="20.25" customHeight="1" x14ac:dyDescent="0.2">
      <c r="B3" s="346" t="s">
        <v>0</v>
      </c>
      <c r="C3" s="346" t="s">
        <v>1</v>
      </c>
      <c r="D3" s="346" t="s">
        <v>8</v>
      </c>
      <c r="E3" s="346" t="s">
        <v>2</v>
      </c>
      <c r="F3" s="346" t="s">
        <v>8</v>
      </c>
      <c r="G3" s="339" t="s">
        <v>9</v>
      </c>
      <c r="H3" s="346" t="s">
        <v>8</v>
      </c>
      <c r="I3" s="339" t="s">
        <v>3</v>
      </c>
      <c r="J3" s="339" t="s">
        <v>4</v>
      </c>
      <c r="K3" s="352" t="s">
        <v>5</v>
      </c>
      <c r="L3" s="352" t="s">
        <v>10</v>
      </c>
      <c r="M3" s="360" t="s">
        <v>11</v>
      </c>
      <c r="N3" s="361"/>
      <c r="O3" s="361"/>
      <c r="P3" s="361"/>
      <c r="Q3" s="374" t="s">
        <v>12</v>
      </c>
      <c r="R3" s="376" t="s">
        <v>8</v>
      </c>
      <c r="S3" s="379" t="s">
        <v>13</v>
      </c>
      <c r="T3" s="379"/>
      <c r="U3" s="379"/>
      <c r="V3" s="379"/>
      <c r="W3" s="154"/>
      <c r="X3" s="381" t="s">
        <v>14</v>
      </c>
      <c r="Y3" s="342" t="s">
        <v>15</v>
      </c>
      <c r="Z3" s="342" t="s">
        <v>16</v>
      </c>
      <c r="AA3" s="384" t="s">
        <v>17</v>
      </c>
      <c r="AB3" s="374"/>
      <c r="AC3" s="342" t="s">
        <v>18</v>
      </c>
      <c r="AD3" s="342"/>
      <c r="AE3" s="342"/>
      <c r="AF3" s="342"/>
      <c r="AG3" s="342"/>
      <c r="AH3" s="342"/>
      <c r="AI3" s="342"/>
      <c r="AJ3" s="342"/>
      <c r="AK3" s="342" t="s">
        <v>19</v>
      </c>
      <c r="AL3" s="342" t="s">
        <v>20</v>
      </c>
      <c r="AM3" s="342" t="s">
        <v>21</v>
      </c>
    </row>
    <row r="4" spans="1:39" ht="15" customHeight="1" x14ac:dyDescent="0.2">
      <c r="B4" s="347"/>
      <c r="C4" s="347"/>
      <c r="D4" s="347"/>
      <c r="E4" s="347"/>
      <c r="F4" s="347"/>
      <c r="G4" s="340"/>
      <c r="H4" s="347"/>
      <c r="I4" s="340"/>
      <c r="J4" s="340"/>
      <c r="K4" s="352"/>
      <c r="L4" s="352"/>
      <c r="M4" s="369" t="s">
        <v>36</v>
      </c>
      <c r="N4" s="370" t="s">
        <v>37</v>
      </c>
      <c r="O4" s="371" t="s">
        <v>201</v>
      </c>
      <c r="P4" s="373" t="s">
        <v>22</v>
      </c>
      <c r="Q4" s="374"/>
      <c r="R4" s="377"/>
      <c r="S4" s="380"/>
      <c r="T4" s="380"/>
      <c r="U4" s="380"/>
      <c r="V4" s="380"/>
      <c r="W4" s="155"/>
      <c r="X4" s="382"/>
      <c r="Y4" s="342"/>
      <c r="Z4" s="342"/>
      <c r="AA4" s="343" t="s">
        <v>23</v>
      </c>
      <c r="AB4" s="343" t="s">
        <v>24</v>
      </c>
      <c r="AC4" s="342" t="s">
        <v>25</v>
      </c>
      <c r="AD4" s="342" t="s">
        <v>26</v>
      </c>
      <c r="AE4" s="385" t="s">
        <v>27</v>
      </c>
      <c r="AF4" s="342" t="s">
        <v>224</v>
      </c>
      <c r="AG4" s="342" t="s">
        <v>225</v>
      </c>
      <c r="AH4" s="343" t="s">
        <v>28</v>
      </c>
      <c r="AI4" s="353" t="s">
        <v>35</v>
      </c>
      <c r="AJ4" s="342" t="s">
        <v>28</v>
      </c>
      <c r="AK4" s="342"/>
      <c r="AL4" s="344"/>
      <c r="AM4" s="342"/>
    </row>
    <row r="5" spans="1:39" ht="28.15" customHeight="1" x14ac:dyDescent="0.2">
      <c r="B5" s="348"/>
      <c r="C5" s="348"/>
      <c r="D5" s="348"/>
      <c r="E5" s="348"/>
      <c r="F5" s="348"/>
      <c r="G5" s="341"/>
      <c r="H5" s="348"/>
      <c r="I5" s="341"/>
      <c r="J5" s="341"/>
      <c r="K5" s="352"/>
      <c r="L5" s="352"/>
      <c r="M5" s="369"/>
      <c r="N5" s="370"/>
      <c r="O5" s="372"/>
      <c r="P5" s="373"/>
      <c r="Q5" s="375"/>
      <c r="R5" s="378"/>
      <c r="S5" s="10" t="s">
        <v>29</v>
      </c>
      <c r="T5" s="10" t="s">
        <v>30</v>
      </c>
      <c r="U5" s="10" t="s">
        <v>31</v>
      </c>
      <c r="V5" s="10" t="s">
        <v>32</v>
      </c>
      <c r="W5" s="39" t="s">
        <v>202</v>
      </c>
      <c r="X5" s="383"/>
      <c r="Y5" s="343"/>
      <c r="Z5" s="343"/>
      <c r="AA5" s="355"/>
      <c r="AB5" s="355"/>
      <c r="AC5" s="345"/>
      <c r="AD5" s="343"/>
      <c r="AE5" s="386"/>
      <c r="AF5" s="345"/>
      <c r="AG5" s="345"/>
      <c r="AH5" s="355"/>
      <c r="AI5" s="354"/>
      <c r="AJ5" s="345"/>
      <c r="AK5" s="343"/>
      <c r="AL5" s="345"/>
      <c r="AM5" s="343"/>
    </row>
    <row r="6" spans="1:39" ht="12" customHeight="1" x14ac:dyDescent="0.2">
      <c r="B6" s="42"/>
      <c r="C6" s="42"/>
      <c r="D6" s="42"/>
      <c r="E6" s="42"/>
      <c r="F6" s="42"/>
      <c r="G6" s="45"/>
      <c r="H6" s="42"/>
      <c r="I6" s="45"/>
      <c r="J6" s="45"/>
      <c r="K6" s="44"/>
      <c r="L6" s="44"/>
      <c r="M6" s="46"/>
      <c r="N6" s="151"/>
      <c r="O6" s="37"/>
      <c r="P6" s="38"/>
      <c r="Q6" s="48"/>
      <c r="R6" s="49"/>
      <c r="S6" s="39"/>
      <c r="T6" s="39"/>
      <c r="U6" s="39"/>
      <c r="V6" s="39"/>
      <c r="W6" s="39"/>
      <c r="X6" s="47"/>
      <c r="Y6" s="43"/>
      <c r="Z6" s="43"/>
      <c r="AA6" s="50"/>
      <c r="AB6" s="50"/>
      <c r="AC6" s="41"/>
      <c r="AD6" s="43"/>
      <c r="AE6" s="40"/>
      <c r="AF6" s="41"/>
      <c r="AG6" s="41"/>
      <c r="AH6" s="52"/>
      <c r="AI6" s="51"/>
      <c r="AJ6" s="41"/>
      <c r="AK6" s="43"/>
      <c r="AL6" s="41"/>
      <c r="AM6" s="43"/>
    </row>
    <row r="7" spans="1:39" ht="12" customHeight="1" x14ac:dyDescent="0.2">
      <c r="B7" s="42"/>
      <c r="C7" s="42"/>
      <c r="D7" s="42"/>
      <c r="E7" s="42"/>
      <c r="F7" s="42"/>
      <c r="G7" s="45"/>
      <c r="H7" s="42"/>
      <c r="I7" s="45"/>
      <c r="J7" s="45"/>
      <c r="K7" s="44"/>
      <c r="L7" s="44"/>
      <c r="M7" s="46"/>
      <c r="N7" s="151"/>
      <c r="O7" s="37"/>
      <c r="P7" s="38"/>
      <c r="Q7" s="48"/>
      <c r="R7" s="49"/>
      <c r="S7" s="39"/>
      <c r="T7" s="39"/>
      <c r="U7" s="39"/>
      <c r="V7" s="39"/>
      <c r="W7" s="39"/>
      <c r="X7" s="47"/>
      <c r="Y7" s="43"/>
      <c r="Z7" s="43"/>
      <c r="AA7" s="50"/>
      <c r="AB7" s="50"/>
      <c r="AC7" s="41"/>
      <c r="AD7" s="43"/>
      <c r="AE7" s="40"/>
      <c r="AF7" s="41"/>
      <c r="AG7" s="41"/>
      <c r="AH7" s="52"/>
      <c r="AI7" s="51"/>
      <c r="AJ7" s="41"/>
      <c r="AK7" s="43"/>
      <c r="AL7" s="41"/>
      <c r="AM7" s="43"/>
    </row>
    <row r="8" spans="1:39" ht="19.5" customHeight="1" x14ac:dyDescent="0.2">
      <c r="A8" s="24" t="s">
        <v>33</v>
      </c>
      <c r="B8" s="11"/>
      <c r="C8" s="11"/>
      <c r="D8" s="11"/>
      <c r="E8" s="11"/>
      <c r="F8" s="11"/>
      <c r="G8" s="12"/>
      <c r="H8" s="12"/>
      <c r="I8" s="12"/>
      <c r="J8" s="12"/>
      <c r="K8" s="13"/>
      <c r="L8" s="13"/>
      <c r="M8" s="14"/>
      <c r="N8" s="152"/>
      <c r="O8" s="14"/>
      <c r="P8" s="14"/>
      <c r="Q8" s="15"/>
      <c r="R8" s="16"/>
      <c r="S8" s="16"/>
      <c r="T8" s="16"/>
      <c r="U8" s="16"/>
      <c r="V8" s="16"/>
      <c r="W8" s="16"/>
      <c r="X8" s="17"/>
      <c r="Y8" s="18"/>
      <c r="Z8" s="18"/>
      <c r="AA8" s="19"/>
      <c r="AB8" s="20"/>
      <c r="AC8" s="21"/>
      <c r="AD8" s="18"/>
      <c r="AE8" s="22"/>
      <c r="AF8" s="21"/>
      <c r="AG8" s="21"/>
      <c r="AH8" s="21"/>
      <c r="AI8" s="21"/>
      <c r="AJ8" s="21"/>
      <c r="AK8" s="18"/>
      <c r="AL8" s="21"/>
      <c r="AM8" s="18"/>
    </row>
    <row r="9" spans="1:39" ht="40.5" customHeight="1" x14ac:dyDescent="0.2">
      <c r="B9" s="332" t="s">
        <v>38</v>
      </c>
      <c r="C9" s="359" t="s">
        <v>39</v>
      </c>
      <c r="D9" s="256">
        <v>0.15</v>
      </c>
      <c r="E9" s="332" t="s">
        <v>235</v>
      </c>
      <c r="F9" s="356">
        <v>1</v>
      </c>
      <c r="G9" s="358" t="s">
        <v>40</v>
      </c>
      <c r="H9" s="328">
        <v>1</v>
      </c>
      <c r="I9" s="254" t="s">
        <v>65</v>
      </c>
      <c r="J9" s="254">
        <v>3</v>
      </c>
      <c r="K9" s="246">
        <v>4</v>
      </c>
      <c r="L9" s="246" t="s">
        <v>66</v>
      </c>
      <c r="M9" s="246">
        <v>4</v>
      </c>
      <c r="N9" s="397">
        <f>SUMPRODUCT(R9:R17*W9:W17)*4</f>
        <v>1.38744</v>
      </c>
      <c r="O9" s="400">
        <f>SUMPRODUCT(R9:R17*U9:U17)</f>
        <v>0.25600000000000001</v>
      </c>
      <c r="P9" s="403">
        <f>+SUMPRODUCT(W9:W17*R9:R17)</f>
        <v>0.34686</v>
      </c>
      <c r="Q9" s="96" t="s">
        <v>69</v>
      </c>
      <c r="R9" s="72">
        <v>0.1</v>
      </c>
      <c r="S9" s="72">
        <v>0</v>
      </c>
      <c r="T9" s="72">
        <v>0</v>
      </c>
      <c r="U9" s="199">
        <v>1</v>
      </c>
      <c r="V9" s="72"/>
      <c r="W9" s="156">
        <f>+SUM(S9:V9)</f>
        <v>1</v>
      </c>
      <c r="X9" s="56" t="s">
        <v>70</v>
      </c>
      <c r="Y9" s="231" t="s">
        <v>249</v>
      </c>
      <c r="Z9" s="96" t="s">
        <v>248</v>
      </c>
      <c r="AA9" s="256" t="s">
        <v>152</v>
      </c>
      <c r="AB9" s="317" t="s">
        <v>198</v>
      </c>
      <c r="AC9" s="114" t="s">
        <v>160</v>
      </c>
      <c r="AD9" s="62" t="s">
        <v>161</v>
      </c>
      <c r="AE9" s="63">
        <v>0</v>
      </c>
      <c r="AF9" s="89">
        <v>12000000</v>
      </c>
      <c r="AG9" s="98">
        <v>12000000</v>
      </c>
      <c r="AH9" s="99">
        <f t="shared" ref="AH9:AH26" si="0">+AG9/AF9</f>
        <v>1</v>
      </c>
      <c r="AI9" s="98">
        <v>12000000</v>
      </c>
      <c r="AJ9" s="100">
        <f t="shared" ref="AJ9:AJ26" si="1">+AI9/AF9</f>
        <v>1</v>
      </c>
      <c r="AK9" s="101" t="s">
        <v>176</v>
      </c>
      <c r="AL9" s="94" t="s">
        <v>177</v>
      </c>
      <c r="AM9" s="59"/>
    </row>
    <row r="10" spans="1:39" ht="40.15" customHeight="1" x14ac:dyDescent="0.2">
      <c r="B10" s="332"/>
      <c r="C10" s="359"/>
      <c r="D10" s="256"/>
      <c r="E10" s="332"/>
      <c r="F10" s="356"/>
      <c r="G10" s="358"/>
      <c r="H10" s="328"/>
      <c r="I10" s="254"/>
      <c r="J10" s="254"/>
      <c r="K10" s="254"/>
      <c r="L10" s="254"/>
      <c r="M10" s="254"/>
      <c r="N10" s="398"/>
      <c r="O10" s="401"/>
      <c r="P10" s="404"/>
      <c r="Q10" s="271" t="s">
        <v>150</v>
      </c>
      <c r="R10" s="279">
        <v>0.2</v>
      </c>
      <c r="S10" s="279">
        <v>0.18099999999999999</v>
      </c>
      <c r="T10" s="279">
        <v>0.27329999999999999</v>
      </c>
      <c r="U10" s="291">
        <v>0.28000000000000003</v>
      </c>
      <c r="V10" s="279"/>
      <c r="W10" s="364">
        <f>+SUM(S10:V11)</f>
        <v>0.73429999999999995</v>
      </c>
      <c r="X10" s="362" t="s">
        <v>70</v>
      </c>
      <c r="Y10" s="424" t="s">
        <v>203</v>
      </c>
      <c r="Z10" s="271" t="s">
        <v>180</v>
      </c>
      <c r="AA10" s="256"/>
      <c r="AB10" s="317"/>
      <c r="AC10" s="62" t="s">
        <v>156</v>
      </c>
      <c r="AD10" s="59" t="s">
        <v>157</v>
      </c>
      <c r="AE10" s="63">
        <v>110000000</v>
      </c>
      <c r="AF10" s="89">
        <v>110000000</v>
      </c>
      <c r="AG10" s="98">
        <v>89475000</v>
      </c>
      <c r="AH10" s="99">
        <f t="shared" si="0"/>
        <v>0.81340909090909086</v>
      </c>
      <c r="AI10" s="98">
        <v>89475000</v>
      </c>
      <c r="AJ10" s="100">
        <f t="shared" si="1"/>
        <v>0.81340909090909086</v>
      </c>
      <c r="AK10" s="101" t="s">
        <v>176</v>
      </c>
      <c r="AL10" s="94" t="s">
        <v>177</v>
      </c>
      <c r="AM10" s="59"/>
    </row>
    <row r="11" spans="1:39" ht="40.15" customHeight="1" x14ac:dyDescent="0.2">
      <c r="B11" s="332"/>
      <c r="C11" s="359"/>
      <c r="D11" s="256"/>
      <c r="E11" s="332"/>
      <c r="F11" s="356"/>
      <c r="G11" s="358"/>
      <c r="H11" s="328"/>
      <c r="I11" s="254"/>
      <c r="J11" s="254"/>
      <c r="K11" s="254"/>
      <c r="L11" s="254"/>
      <c r="M11" s="254"/>
      <c r="N11" s="398"/>
      <c r="O11" s="401"/>
      <c r="P11" s="404"/>
      <c r="Q11" s="272"/>
      <c r="R11" s="280"/>
      <c r="S11" s="280"/>
      <c r="T11" s="280"/>
      <c r="U11" s="292"/>
      <c r="V11" s="280"/>
      <c r="W11" s="365"/>
      <c r="X11" s="363"/>
      <c r="Y11" s="425"/>
      <c r="Z11" s="272"/>
      <c r="AA11" s="256"/>
      <c r="AB11" s="317"/>
      <c r="AC11" s="114" t="s">
        <v>160</v>
      </c>
      <c r="AD11" s="62" t="s">
        <v>161</v>
      </c>
      <c r="AE11" s="70">
        <v>0</v>
      </c>
      <c r="AF11" s="89">
        <v>70000000</v>
      </c>
      <c r="AG11" s="98">
        <v>70000000</v>
      </c>
      <c r="AH11" s="99">
        <f t="shared" si="0"/>
        <v>1</v>
      </c>
      <c r="AI11" s="98">
        <v>70000000</v>
      </c>
      <c r="AJ11" s="100">
        <f t="shared" si="1"/>
        <v>1</v>
      </c>
      <c r="AK11" s="101" t="s">
        <v>176</v>
      </c>
      <c r="AL11" s="94" t="s">
        <v>177</v>
      </c>
      <c r="AM11" s="59"/>
    </row>
    <row r="12" spans="1:39" ht="40.15" customHeight="1" x14ac:dyDescent="0.2">
      <c r="B12" s="332"/>
      <c r="C12" s="359"/>
      <c r="D12" s="256"/>
      <c r="E12" s="332"/>
      <c r="F12" s="356"/>
      <c r="G12" s="358"/>
      <c r="H12" s="328"/>
      <c r="I12" s="254"/>
      <c r="J12" s="254"/>
      <c r="K12" s="254"/>
      <c r="L12" s="254"/>
      <c r="M12" s="254"/>
      <c r="N12" s="398"/>
      <c r="O12" s="401"/>
      <c r="P12" s="404"/>
      <c r="Q12" s="362" t="s">
        <v>71</v>
      </c>
      <c r="R12" s="279">
        <v>0.2</v>
      </c>
      <c r="S12" s="279">
        <v>0</v>
      </c>
      <c r="T12" s="279">
        <v>0</v>
      </c>
      <c r="U12" s="281">
        <v>0</v>
      </c>
      <c r="V12" s="279"/>
      <c r="W12" s="364">
        <f>+SUM(S12:V13)</f>
        <v>0</v>
      </c>
      <c r="X12" s="279"/>
      <c r="Y12" s="430"/>
      <c r="Z12" s="279"/>
      <c r="AA12" s="256"/>
      <c r="AB12" s="317"/>
      <c r="AC12" s="114" t="s">
        <v>226</v>
      </c>
      <c r="AD12" s="62" t="s">
        <v>227</v>
      </c>
      <c r="AE12" s="70"/>
      <c r="AF12" s="89">
        <v>1007650962.24</v>
      </c>
      <c r="AG12" s="98">
        <v>0</v>
      </c>
      <c r="AH12" s="99">
        <f t="shared" si="0"/>
        <v>0</v>
      </c>
      <c r="AI12" s="98">
        <v>0</v>
      </c>
      <c r="AJ12" s="100">
        <f t="shared" si="1"/>
        <v>0</v>
      </c>
      <c r="AK12" s="101"/>
      <c r="AL12" s="94"/>
      <c r="AM12" s="59"/>
    </row>
    <row r="13" spans="1:39" ht="42.75" customHeight="1" x14ac:dyDescent="0.2">
      <c r="B13" s="332"/>
      <c r="C13" s="359"/>
      <c r="D13" s="256"/>
      <c r="E13" s="332"/>
      <c r="F13" s="356"/>
      <c r="G13" s="358"/>
      <c r="H13" s="328"/>
      <c r="I13" s="254"/>
      <c r="J13" s="254"/>
      <c r="K13" s="254"/>
      <c r="L13" s="254"/>
      <c r="M13" s="254"/>
      <c r="N13" s="398"/>
      <c r="O13" s="401"/>
      <c r="P13" s="404"/>
      <c r="Q13" s="363"/>
      <c r="R13" s="280"/>
      <c r="S13" s="280">
        <v>0</v>
      </c>
      <c r="T13" s="280">
        <v>0</v>
      </c>
      <c r="U13" s="282"/>
      <c r="V13" s="280"/>
      <c r="W13" s="365"/>
      <c r="X13" s="280" t="s">
        <v>70</v>
      </c>
      <c r="Y13" s="431"/>
      <c r="Z13" s="280"/>
      <c r="AA13" s="256"/>
      <c r="AB13" s="317"/>
      <c r="AC13" s="115" t="s">
        <v>160</v>
      </c>
      <c r="AD13" s="69" t="s">
        <v>161</v>
      </c>
      <c r="AE13" s="68">
        <v>0</v>
      </c>
      <c r="AF13" s="90">
        <v>55000000</v>
      </c>
      <c r="AG13" s="102">
        <v>55000000</v>
      </c>
      <c r="AH13" s="99">
        <f t="shared" si="0"/>
        <v>1</v>
      </c>
      <c r="AI13" s="102">
        <v>55000000</v>
      </c>
      <c r="AJ13" s="100">
        <f t="shared" si="1"/>
        <v>1</v>
      </c>
      <c r="AK13" s="101" t="s">
        <v>176</v>
      </c>
      <c r="AL13" s="94" t="s">
        <v>177</v>
      </c>
      <c r="AM13" s="67"/>
    </row>
    <row r="14" spans="1:39" ht="38.25" customHeight="1" x14ac:dyDescent="0.2">
      <c r="B14" s="332"/>
      <c r="C14" s="359"/>
      <c r="D14" s="256"/>
      <c r="E14" s="332"/>
      <c r="F14" s="356"/>
      <c r="G14" s="358"/>
      <c r="H14" s="328"/>
      <c r="I14" s="254"/>
      <c r="J14" s="254"/>
      <c r="K14" s="254"/>
      <c r="L14" s="254"/>
      <c r="M14" s="254"/>
      <c r="N14" s="398"/>
      <c r="O14" s="401"/>
      <c r="P14" s="404"/>
      <c r="Q14" s="271" t="s">
        <v>72</v>
      </c>
      <c r="R14" s="279">
        <v>0.25</v>
      </c>
      <c r="S14" s="279">
        <v>0</v>
      </c>
      <c r="T14" s="279">
        <v>0</v>
      </c>
      <c r="U14" s="281">
        <v>0</v>
      </c>
      <c r="V14" s="279"/>
      <c r="W14" s="364">
        <f>+SUM(S14:V15)</f>
        <v>0</v>
      </c>
      <c r="X14" s="362" t="s">
        <v>70</v>
      </c>
      <c r="Y14" s="424"/>
      <c r="Z14" s="271"/>
      <c r="AA14" s="256"/>
      <c r="AB14" s="317"/>
      <c r="AC14" s="69" t="s">
        <v>158</v>
      </c>
      <c r="AD14" s="67" t="s">
        <v>159</v>
      </c>
      <c r="AE14" s="68">
        <v>47866922</v>
      </c>
      <c r="AF14" s="90">
        <v>47866922</v>
      </c>
      <c r="AG14" s="102">
        <v>47866922</v>
      </c>
      <c r="AH14" s="99">
        <f t="shared" si="0"/>
        <v>1</v>
      </c>
      <c r="AI14" s="102">
        <v>47866922</v>
      </c>
      <c r="AJ14" s="100">
        <f t="shared" si="1"/>
        <v>1</v>
      </c>
      <c r="AK14" s="101" t="s">
        <v>176</v>
      </c>
      <c r="AL14" s="94" t="s">
        <v>177</v>
      </c>
      <c r="AM14" s="67"/>
    </row>
    <row r="15" spans="1:39" ht="31.15" customHeight="1" x14ac:dyDescent="0.2">
      <c r="B15" s="332"/>
      <c r="C15" s="359"/>
      <c r="D15" s="256"/>
      <c r="E15" s="332"/>
      <c r="F15" s="356"/>
      <c r="G15" s="358"/>
      <c r="H15" s="328"/>
      <c r="I15" s="254"/>
      <c r="J15" s="254"/>
      <c r="K15" s="254"/>
      <c r="L15" s="254"/>
      <c r="M15" s="254"/>
      <c r="N15" s="398"/>
      <c r="O15" s="401"/>
      <c r="P15" s="404"/>
      <c r="Q15" s="272"/>
      <c r="R15" s="280"/>
      <c r="S15" s="280"/>
      <c r="T15" s="280"/>
      <c r="U15" s="282"/>
      <c r="V15" s="280"/>
      <c r="W15" s="365"/>
      <c r="X15" s="363"/>
      <c r="Y15" s="425"/>
      <c r="Z15" s="272"/>
      <c r="AA15" s="256"/>
      <c r="AB15" s="317"/>
      <c r="AC15" s="116" t="s">
        <v>160</v>
      </c>
      <c r="AD15" s="73" t="s">
        <v>161</v>
      </c>
      <c r="AE15" s="64">
        <v>0</v>
      </c>
      <c r="AF15" s="91">
        <v>83000000</v>
      </c>
      <c r="AG15" s="103">
        <v>83000000</v>
      </c>
      <c r="AH15" s="99">
        <f t="shared" si="0"/>
        <v>1</v>
      </c>
      <c r="AI15" s="103">
        <v>83000000</v>
      </c>
      <c r="AJ15" s="100">
        <f t="shared" si="1"/>
        <v>1</v>
      </c>
      <c r="AK15" s="101" t="s">
        <v>176</v>
      </c>
      <c r="AL15" s="94" t="s">
        <v>177</v>
      </c>
      <c r="AM15" s="60"/>
    </row>
    <row r="16" spans="1:39" ht="31.15" customHeight="1" x14ac:dyDescent="0.2">
      <c r="B16" s="332"/>
      <c r="C16" s="359"/>
      <c r="D16" s="256"/>
      <c r="E16" s="332"/>
      <c r="F16" s="356"/>
      <c r="G16" s="358"/>
      <c r="H16" s="328"/>
      <c r="I16" s="254"/>
      <c r="J16" s="254"/>
      <c r="K16" s="254"/>
      <c r="L16" s="254"/>
      <c r="M16" s="254"/>
      <c r="N16" s="398"/>
      <c r="O16" s="401"/>
      <c r="P16" s="404"/>
      <c r="Q16" s="86" t="s">
        <v>73</v>
      </c>
      <c r="R16" s="83">
        <v>0.15</v>
      </c>
      <c r="S16" s="83">
        <v>0</v>
      </c>
      <c r="T16" s="83">
        <v>0</v>
      </c>
      <c r="U16" s="200">
        <v>0</v>
      </c>
      <c r="V16" s="83"/>
      <c r="W16" s="157">
        <f>+SUM(S16:V16)</f>
        <v>0</v>
      </c>
      <c r="X16" s="57" t="s">
        <v>182</v>
      </c>
      <c r="Y16" s="232"/>
      <c r="Z16" s="86"/>
      <c r="AA16" s="256"/>
      <c r="AB16" s="317"/>
      <c r="AC16" s="116" t="s">
        <v>160</v>
      </c>
      <c r="AD16" s="73" t="s">
        <v>161</v>
      </c>
      <c r="AE16" s="64">
        <v>0</v>
      </c>
      <c r="AF16" s="91">
        <v>27000000</v>
      </c>
      <c r="AG16" s="103">
        <v>27000000</v>
      </c>
      <c r="AH16" s="99">
        <f t="shared" si="0"/>
        <v>1</v>
      </c>
      <c r="AI16" s="103">
        <v>27000000</v>
      </c>
      <c r="AJ16" s="100">
        <f t="shared" si="1"/>
        <v>1</v>
      </c>
      <c r="AK16" s="101" t="s">
        <v>176</v>
      </c>
      <c r="AL16" s="94" t="s">
        <v>177</v>
      </c>
      <c r="AM16" s="60"/>
    </row>
    <row r="17" spans="2:39" ht="60.75" customHeight="1" x14ac:dyDescent="0.2">
      <c r="B17" s="332"/>
      <c r="C17" s="359"/>
      <c r="D17" s="256"/>
      <c r="E17" s="331"/>
      <c r="F17" s="357"/>
      <c r="G17" s="315"/>
      <c r="H17" s="329"/>
      <c r="I17" s="247"/>
      <c r="J17" s="247"/>
      <c r="K17" s="247"/>
      <c r="L17" s="247"/>
      <c r="M17" s="247"/>
      <c r="N17" s="399"/>
      <c r="O17" s="402"/>
      <c r="P17" s="405"/>
      <c r="Q17" s="97" t="s">
        <v>74</v>
      </c>
      <c r="R17" s="95">
        <v>0.1</v>
      </c>
      <c r="S17" s="95">
        <v>0</v>
      </c>
      <c r="T17" s="95">
        <v>0</v>
      </c>
      <c r="U17" s="201">
        <v>1</v>
      </c>
      <c r="V17" s="95"/>
      <c r="W17" s="158">
        <f>+SUM(S17:V17)</f>
        <v>1</v>
      </c>
      <c r="X17" s="58" t="s">
        <v>75</v>
      </c>
      <c r="Y17" s="233" t="s">
        <v>251</v>
      </c>
      <c r="Z17" s="97" t="s">
        <v>250</v>
      </c>
      <c r="AA17" s="256"/>
      <c r="AB17" s="317"/>
      <c r="AC17" s="117" t="s">
        <v>160</v>
      </c>
      <c r="AD17" s="74" t="s">
        <v>161</v>
      </c>
      <c r="AE17" s="65">
        <v>0</v>
      </c>
      <c r="AF17" s="229">
        <v>25000000</v>
      </c>
      <c r="AG17" s="87">
        <v>25000000</v>
      </c>
      <c r="AH17" s="99">
        <f t="shared" si="0"/>
        <v>1</v>
      </c>
      <c r="AI17" s="87">
        <v>25000000</v>
      </c>
      <c r="AJ17" s="100">
        <f t="shared" si="1"/>
        <v>1</v>
      </c>
      <c r="AK17" s="101" t="s">
        <v>176</v>
      </c>
      <c r="AL17" s="94" t="s">
        <v>177</v>
      </c>
      <c r="AM17" s="61"/>
    </row>
    <row r="18" spans="2:39" ht="54" customHeight="1" x14ac:dyDescent="0.2">
      <c r="B18" s="332"/>
      <c r="C18" s="330" t="s">
        <v>41</v>
      </c>
      <c r="D18" s="255">
        <v>0.1</v>
      </c>
      <c r="E18" s="330" t="s">
        <v>236</v>
      </c>
      <c r="F18" s="336">
        <v>1</v>
      </c>
      <c r="G18" s="246" t="s">
        <v>42</v>
      </c>
      <c r="H18" s="255">
        <v>0.4</v>
      </c>
      <c r="I18" s="246" t="s">
        <v>65</v>
      </c>
      <c r="J18" s="246">
        <v>4</v>
      </c>
      <c r="K18" s="246">
        <v>4</v>
      </c>
      <c r="L18" s="246" t="s">
        <v>66</v>
      </c>
      <c r="M18" s="246">
        <v>4</v>
      </c>
      <c r="N18" s="251">
        <f>+SUMPRODUCT(W18:W22*R18:R22)*M18</f>
        <v>1.4</v>
      </c>
      <c r="O18" s="388">
        <f>SUMPRODUCT(R18:R22*U18:U22)</f>
        <v>0.2</v>
      </c>
      <c r="P18" s="248">
        <f>SUMPRODUCT(R18:R22*W18:W22)</f>
        <v>0.35</v>
      </c>
      <c r="Q18" s="76" t="s">
        <v>76</v>
      </c>
      <c r="R18" s="55">
        <v>0.4</v>
      </c>
      <c r="S18" s="159">
        <v>0</v>
      </c>
      <c r="T18" s="55">
        <v>0</v>
      </c>
      <c r="U18" s="202">
        <v>0</v>
      </c>
      <c r="V18" s="55"/>
      <c r="W18" s="159">
        <f t="shared" ref="W18:W23" si="2">SUM(S18:V18)</f>
        <v>0</v>
      </c>
      <c r="X18" s="85" t="s">
        <v>182</v>
      </c>
      <c r="Y18" s="210"/>
      <c r="Z18" s="76"/>
      <c r="AA18" s="255" t="s">
        <v>155</v>
      </c>
      <c r="AB18" s="316" t="s">
        <v>197</v>
      </c>
      <c r="AC18" s="118" t="s">
        <v>162</v>
      </c>
      <c r="AD18" s="54" t="s">
        <v>159</v>
      </c>
      <c r="AE18" s="66">
        <v>20000000</v>
      </c>
      <c r="AF18" s="87">
        <v>20000000</v>
      </c>
      <c r="AG18" s="87">
        <v>20000000</v>
      </c>
      <c r="AH18" s="99">
        <f t="shared" si="0"/>
        <v>1</v>
      </c>
      <c r="AI18" s="87">
        <v>20000000</v>
      </c>
      <c r="AJ18" s="100">
        <f t="shared" si="1"/>
        <v>1</v>
      </c>
      <c r="AK18" s="101" t="s">
        <v>176</v>
      </c>
      <c r="AL18" s="94" t="s">
        <v>177</v>
      </c>
      <c r="AM18" s="54"/>
    </row>
    <row r="19" spans="2:39" ht="63.75" x14ac:dyDescent="0.2">
      <c r="B19" s="332"/>
      <c r="C19" s="332"/>
      <c r="D19" s="256"/>
      <c r="E19" s="332"/>
      <c r="F19" s="332"/>
      <c r="G19" s="254"/>
      <c r="H19" s="256"/>
      <c r="I19" s="254"/>
      <c r="J19" s="254"/>
      <c r="K19" s="254"/>
      <c r="L19" s="254"/>
      <c r="M19" s="254"/>
      <c r="N19" s="252"/>
      <c r="O19" s="389"/>
      <c r="P19" s="249"/>
      <c r="Q19" s="76" t="s">
        <v>77</v>
      </c>
      <c r="R19" s="55">
        <v>0.15</v>
      </c>
      <c r="S19" s="159">
        <v>0</v>
      </c>
      <c r="T19" s="55">
        <v>1</v>
      </c>
      <c r="U19" s="202">
        <v>0</v>
      </c>
      <c r="V19" s="55"/>
      <c r="W19" s="159">
        <f t="shared" si="2"/>
        <v>1</v>
      </c>
      <c r="X19" s="85" t="s">
        <v>118</v>
      </c>
      <c r="Y19" s="210" t="s">
        <v>209</v>
      </c>
      <c r="Z19" s="76" t="s">
        <v>210</v>
      </c>
      <c r="AA19" s="256"/>
      <c r="AB19" s="317"/>
      <c r="AC19" s="118" t="s">
        <v>162</v>
      </c>
      <c r="AD19" s="54" t="s">
        <v>159</v>
      </c>
      <c r="AE19" s="66">
        <v>13000000</v>
      </c>
      <c r="AF19" s="87">
        <v>13000000</v>
      </c>
      <c r="AG19" s="87">
        <v>13000000</v>
      </c>
      <c r="AH19" s="99">
        <f t="shared" si="0"/>
        <v>1</v>
      </c>
      <c r="AI19" s="87">
        <v>13000000</v>
      </c>
      <c r="AJ19" s="100">
        <f t="shared" si="1"/>
        <v>1</v>
      </c>
      <c r="AK19" s="101" t="s">
        <v>176</v>
      </c>
      <c r="AL19" s="94" t="s">
        <v>177</v>
      </c>
      <c r="AM19" s="54"/>
    </row>
    <row r="20" spans="2:39" ht="38.25" x14ac:dyDescent="0.2">
      <c r="B20" s="332"/>
      <c r="C20" s="332"/>
      <c r="D20" s="256"/>
      <c r="E20" s="332"/>
      <c r="F20" s="332"/>
      <c r="G20" s="254"/>
      <c r="H20" s="256"/>
      <c r="I20" s="254"/>
      <c r="J20" s="254"/>
      <c r="K20" s="254"/>
      <c r="L20" s="254"/>
      <c r="M20" s="254"/>
      <c r="N20" s="252"/>
      <c r="O20" s="389"/>
      <c r="P20" s="249"/>
      <c r="Q20" s="76" t="s">
        <v>78</v>
      </c>
      <c r="R20" s="55">
        <v>0.1</v>
      </c>
      <c r="S20" s="159">
        <v>0</v>
      </c>
      <c r="T20" s="55">
        <v>0</v>
      </c>
      <c r="U20" s="202">
        <v>1</v>
      </c>
      <c r="V20" s="55"/>
      <c r="W20" s="159">
        <f t="shared" si="2"/>
        <v>1</v>
      </c>
      <c r="X20" s="85" t="s">
        <v>181</v>
      </c>
      <c r="Y20" s="210" t="s">
        <v>252</v>
      </c>
      <c r="Z20" s="76" t="s">
        <v>253</v>
      </c>
      <c r="AA20" s="256"/>
      <c r="AB20" s="317"/>
      <c r="AC20" s="118" t="s">
        <v>162</v>
      </c>
      <c r="AD20" s="54" t="s">
        <v>159</v>
      </c>
      <c r="AE20" s="66">
        <v>5000000</v>
      </c>
      <c r="AF20" s="87">
        <v>5000000</v>
      </c>
      <c r="AG20" s="87">
        <v>5000000</v>
      </c>
      <c r="AH20" s="99">
        <f t="shared" si="0"/>
        <v>1</v>
      </c>
      <c r="AI20" s="87">
        <v>5000000</v>
      </c>
      <c r="AJ20" s="100">
        <f t="shared" si="1"/>
        <v>1</v>
      </c>
      <c r="AK20" s="101" t="s">
        <v>176</v>
      </c>
      <c r="AL20" s="94" t="s">
        <v>177</v>
      </c>
      <c r="AM20" s="54"/>
    </row>
    <row r="21" spans="2:39" ht="63" customHeight="1" x14ac:dyDescent="0.2">
      <c r="B21" s="332"/>
      <c r="C21" s="332"/>
      <c r="D21" s="256"/>
      <c r="E21" s="332"/>
      <c r="F21" s="332"/>
      <c r="G21" s="254"/>
      <c r="H21" s="256"/>
      <c r="I21" s="254"/>
      <c r="J21" s="254"/>
      <c r="K21" s="254"/>
      <c r="L21" s="254"/>
      <c r="M21" s="254"/>
      <c r="N21" s="252"/>
      <c r="O21" s="389"/>
      <c r="P21" s="249"/>
      <c r="Q21" s="76" t="s">
        <v>79</v>
      </c>
      <c r="R21" s="55">
        <v>0.25</v>
      </c>
      <c r="S21" s="159">
        <v>0</v>
      </c>
      <c r="T21" s="55">
        <v>0</v>
      </c>
      <c r="U21" s="202">
        <v>0</v>
      </c>
      <c r="V21" s="55"/>
      <c r="W21" s="159">
        <f t="shared" si="2"/>
        <v>0</v>
      </c>
      <c r="X21" s="85" t="s">
        <v>70</v>
      </c>
      <c r="Y21" s="210"/>
      <c r="Z21" s="76"/>
      <c r="AA21" s="256"/>
      <c r="AB21" s="317"/>
      <c r="AC21" s="120" t="s">
        <v>163</v>
      </c>
      <c r="AD21" s="54" t="s">
        <v>161</v>
      </c>
      <c r="AE21" s="66">
        <v>0</v>
      </c>
      <c r="AF21" s="87">
        <v>20000000</v>
      </c>
      <c r="AG21" s="87">
        <v>20000000</v>
      </c>
      <c r="AH21" s="99">
        <f t="shared" si="0"/>
        <v>1</v>
      </c>
      <c r="AI21" s="87">
        <v>20000000</v>
      </c>
      <c r="AJ21" s="100">
        <f t="shared" si="1"/>
        <v>1</v>
      </c>
      <c r="AK21" s="101" t="s">
        <v>176</v>
      </c>
      <c r="AL21" s="94" t="s">
        <v>177</v>
      </c>
      <c r="AM21" s="54"/>
    </row>
    <row r="22" spans="2:39" ht="30" x14ac:dyDescent="0.2">
      <c r="B22" s="332"/>
      <c r="C22" s="331"/>
      <c r="D22" s="256"/>
      <c r="E22" s="331"/>
      <c r="F22" s="332"/>
      <c r="G22" s="247"/>
      <c r="H22" s="257"/>
      <c r="I22" s="247"/>
      <c r="J22" s="247"/>
      <c r="K22" s="247"/>
      <c r="L22" s="247"/>
      <c r="M22" s="247"/>
      <c r="N22" s="253"/>
      <c r="O22" s="390"/>
      <c r="P22" s="250"/>
      <c r="Q22" s="76" t="s">
        <v>80</v>
      </c>
      <c r="R22" s="55">
        <v>0.1</v>
      </c>
      <c r="S22" s="159">
        <v>0</v>
      </c>
      <c r="T22" s="55">
        <v>0</v>
      </c>
      <c r="U22" s="202">
        <v>1</v>
      </c>
      <c r="V22" s="55"/>
      <c r="W22" s="159">
        <f t="shared" si="2"/>
        <v>1</v>
      </c>
      <c r="X22" s="85" t="s">
        <v>81</v>
      </c>
      <c r="Y22" s="210" t="s">
        <v>254</v>
      </c>
      <c r="Z22" s="76" t="s">
        <v>253</v>
      </c>
      <c r="AA22" s="256"/>
      <c r="AB22" s="317"/>
      <c r="AC22" s="118" t="s">
        <v>162</v>
      </c>
      <c r="AD22" s="54" t="s">
        <v>159</v>
      </c>
      <c r="AE22" s="66">
        <v>5757170</v>
      </c>
      <c r="AF22" s="87">
        <v>5757170</v>
      </c>
      <c r="AG22" s="87">
        <v>5757170</v>
      </c>
      <c r="AH22" s="99">
        <f t="shared" si="0"/>
        <v>1</v>
      </c>
      <c r="AI22" s="87">
        <v>5757170</v>
      </c>
      <c r="AJ22" s="100">
        <f t="shared" si="1"/>
        <v>1</v>
      </c>
      <c r="AK22" s="101" t="s">
        <v>176</v>
      </c>
      <c r="AL22" s="94" t="s">
        <v>177</v>
      </c>
      <c r="AM22" s="54"/>
    </row>
    <row r="23" spans="2:39" ht="128.44999999999999" customHeight="1" x14ac:dyDescent="0.2">
      <c r="B23" s="332"/>
      <c r="C23" s="53" t="s">
        <v>41</v>
      </c>
      <c r="D23" s="256"/>
      <c r="E23" s="53" t="s">
        <v>236</v>
      </c>
      <c r="F23" s="332"/>
      <c r="G23" s="54" t="s">
        <v>43</v>
      </c>
      <c r="H23" s="55">
        <v>0.3</v>
      </c>
      <c r="I23" s="54" t="s">
        <v>65</v>
      </c>
      <c r="J23" s="54">
        <v>10</v>
      </c>
      <c r="K23" s="54">
        <v>13</v>
      </c>
      <c r="L23" s="54" t="s">
        <v>66</v>
      </c>
      <c r="M23" s="54">
        <v>13</v>
      </c>
      <c r="N23" s="198">
        <f>+SUMPRODUCT(W23*R23)*M23</f>
        <v>9.3990000000000009</v>
      </c>
      <c r="O23" s="197">
        <f>SUMPRODUCT(R23*U23)</f>
        <v>0.4</v>
      </c>
      <c r="P23" s="147">
        <f>+SUMPRODUCT(W23*R23)</f>
        <v>0.72300000000000009</v>
      </c>
      <c r="Q23" s="76" t="s">
        <v>82</v>
      </c>
      <c r="R23" s="55">
        <v>1</v>
      </c>
      <c r="S23" s="167">
        <v>0.2</v>
      </c>
      <c r="T23" s="158">
        <v>0.123</v>
      </c>
      <c r="U23" s="202">
        <v>0.4</v>
      </c>
      <c r="V23" s="55"/>
      <c r="W23" s="159">
        <f t="shared" si="2"/>
        <v>0.72300000000000009</v>
      </c>
      <c r="X23" s="85" t="s">
        <v>70</v>
      </c>
      <c r="Y23" s="210" t="s">
        <v>204</v>
      </c>
      <c r="Z23" s="76" t="s">
        <v>253</v>
      </c>
      <c r="AA23" s="256"/>
      <c r="AB23" s="317"/>
      <c r="AC23" s="120" t="s">
        <v>163</v>
      </c>
      <c r="AD23" s="54" t="s">
        <v>161</v>
      </c>
      <c r="AE23" s="66">
        <v>0</v>
      </c>
      <c r="AF23" s="87">
        <v>30000000</v>
      </c>
      <c r="AG23" s="87">
        <v>30000000</v>
      </c>
      <c r="AH23" s="99">
        <f t="shared" si="0"/>
        <v>1</v>
      </c>
      <c r="AI23" s="87">
        <v>30000000</v>
      </c>
      <c r="AJ23" s="100">
        <f t="shared" si="1"/>
        <v>1</v>
      </c>
      <c r="AK23" s="101" t="s">
        <v>176</v>
      </c>
      <c r="AL23" s="94" t="s">
        <v>177</v>
      </c>
      <c r="AM23" s="54"/>
    </row>
    <row r="24" spans="2:39" ht="37.15" customHeight="1" x14ac:dyDescent="0.2">
      <c r="B24" s="332"/>
      <c r="C24" s="330" t="s">
        <v>41</v>
      </c>
      <c r="D24" s="256"/>
      <c r="E24" s="330" t="s">
        <v>236</v>
      </c>
      <c r="F24" s="332"/>
      <c r="G24" s="246" t="s">
        <v>44</v>
      </c>
      <c r="H24" s="255">
        <v>0.3</v>
      </c>
      <c r="I24" s="246" t="s">
        <v>65</v>
      </c>
      <c r="J24" s="246">
        <v>5</v>
      </c>
      <c r="K24" s="246">
        <v>5</v>
      </c>
      <c r="L24" s="246" t="s">
        <v>66</v>
      </c>
      <c r="M24" s="246">
        <v>5</v>
      </c>
      <c r="N24" s="251">
        <f>+(W24*R24)*5</f>
        <v>4.3999999999999995</v>
      </c>
      <c r="O24" s="388">
        <f>SUMPRODUCT(R24*U24)</f>
        <v>0.2</v>
      </c>
      <c r="P24" s="392">
        <f>SUMPRODUCT(R24*W24)</f>
        <v>0.87999999999999989</v>
      </c>
      <c r="Q24" s="275" t="s">
        <v>83</v>
      </c>
      <c r="R24" s="255">
        <v>1</v>
      </c>
      <c r="S24" s="277">
        <v>0.2</v>
      </c>
      <c r="T24" s="255">
        <v>0.48</v>
      </c>
      <c r="U24" s="285">
        <v>0.2</v>
      </c>
      <c r="V24" s="255"/>
      <c r="W24" s="323">
        <f>SUM(S24:V25)</f>
        <v>0.87999999999999989</v>
      </c>
      <c r="X24" s="246" t="s">
        <v>70</v>
      </c>
      <c r="Y24" s="427" t="s">
        <v>205</v>
      </c>
      <c r="Z24" s="275" t="s">
        <v>253</v>
      </c>
      <c r="AA24" s="256"/>
      <c r="AB24" s="317"/>
      <c r="AC24" s="121" t="s">
        <v>163</v>
      </c>
      <c r="AD24" s="122" t="s">
        <v>161</v>
      </c>
      <c r="AE24" s="123">
        <v>0</v>
      </c>
      <c r="AF24" s="124">
        <v>50000000</v>
      </c>
      <c r="AG24" s="124">
        <v>40000000</v>
      </c>
      <c r="AH24" s="99">
        <f t="shared" si="0"/>
        <v>0.8</v>
      </c>
      <c r="AI24" s="124">
        <v>40000000</v>
      </c>
      <c r="AJ24" s="100">
        <f t="shared" si="1"/>
        <v>0.8</v>
      </c>
      <c r="AK24" s="101" t="s">
        <v>176</v>
      </c>
      <c r="AL24" s="94" t="s">
        <v>177</v>
      </c>
      <c r="AM24" s="246"/>
    </row>
    <row r="25" spans="2:39" ht="30" x14ac:dyDescent="0.2">
      <c r="B25" s="332"/>
      <c r="C25" s="331"/>
      <c r="D25" s="257"/>
      <c r="E25" s="331"/>
      <c r="F25" s="331"/>
      <c r="G25" s="247"/>
      <c r="H25" s="257"/>
      <c r="I25" s="247"/>
      <c r="J25" s="247"/>
      <c r="K25" s="247"/>
      <c r="L25" s="247"/>
      <c r="M25" s="247"/>
      <c r="N25" s="253"/>
      <c r="O25" s="390"/>
      <c r="P25" s="392"/>
      <c r="Q25" s="276"/>
      <c r="R25" s="257"/>
      <c r="S25" s="278"/>
      <c r="T25" s="257"/>
      <c r="U25" s="286"/>
      <c r="V25" s="257"/>
      <c r="W25" s="324"/>
      <c r="X25" s="247"/>
      <c r="Y25" s="428"/>
      <c r="Z25" s="276"/>
      <c r="AA25" s="257"/>
      <c r="AB25" s="318"/>
      <c r="AC25" s="119" t="s">
        <v>162</v>
      </c>
      <c r="AD25" s="78" t="s">
        <v>159</v>
      </c>
      <c r="AE25" s="79">
        <v>20000000</v>
      </c>
      <c r="AF25" s="88">
        <v>20000000</v>
      </c>
      <c r="AG25" s="88">
        <v>20000000</v>
      </c>
      <c r="AH25" s="99">
        <f t="shared" si="0"/>
        <v>1</v>
      </c>
      <c r="AI25" s="88">
        <v>20000000</v>
      </c>
      <c r="AJ25" s="100">
        <f t="shared" si="1"/>
        <v>1</v>
      </c>
      <c r="AK25" s="101" t="s">
        <v>176</v>
      </c>
      <c r="AL25" s="94" t="s">
        <v>177</v>
      </c>
      <c r="AM25" s="247"/>
    </row>
    <row r="26" spans="2:39" ht="67.900000000000006" customHeight="1" x14ac:dyDescent="0.2">
      <c r="B26" s="332"/>
      <c r="C26" s="330" t="s">
        <v>45</v>
      </c>
      <c r="D26" s="255">
        <v>0.25</v>
      </c>
      <c r="E26" s="330" t="s">
        <v>237</v>
      </c>
      <c r="F26" s="336">
        <v>0.4</v>
      </c>
      <c r="G26" s="246" t="s">
        <v>46</v>
      </c>
      <c r="H26" s="255">
        <v>0.35</v>
      </c>
      <c r="I26" s="246" t="s">
        <v>65</v>
      </c>
      <c r="J26" s="246">
        <v>1</v>
      </c>
      <c r="K26" s="246">
        <v>1</v>
      </c>
      <c r="L26" s="246" t="s">
        <v>66</v>
      </c>
      <c r="M26" s="246">
        <v>1</v>
      </c>
      <c r="N26" s="298">
        <f>+SUMPRODUCT(R26:R27*W26:W27)</f>
        <v>0.60001454545454547</v>
      </c>
      <c r="O26" s="388">
        <f>SUMPRODUCT(R26:R27*U26:U27)</f>
        <v>0.2</v>
      </c>
      <c r="P26" s="248">
        <f>SUMPRODUCT(R26:R27*W26:W27)</f>
        <v>0.60001454545454547</v>
      </c>
      <c r="Q26" s="76" t="s">
        <v>84</v>
      </c>
      <c r="R26" s="55">
        <v>0.8</v>
      </c>
      <c r="S26" s="158">
        <v>0.18181818181818182</v>
      </c>
      <c r="T26" s="55">
        <v>0.31819999999999998</v>
      </c>
      <c r="U26" s="203">
        <v>0.25</v>
      </c>
      <c r="V26" s="158"/>
      <c r="W26" s="158">
        <f>SUM(S26:V26)</f>
        <v>0.75001818181818181</v>
      </c>
      <c r="X26" s="85" t="s">
        <v>70</v>
      </c>
      <c r="Y26" s="210" t="s">
        <v>206</v>
      </c>
      <c r="Z26" s="76" t="s">
        <v>186</v>
      </c>
      <c r="AA26" s="255" t="s">
        <v>153</v>
      </c>
      <c r="AB26" s="316" t="s">
        <v>196</v>
      </c>
      <c r="AC26" s="125" t="s">
        <v>165</v>
      </c>
      <c r="AD26" s="54" t="s">
        <v>157</v>
      </c>
      <c r="AE26" s="66">
        <v>164937500</v>
      </c>
      <c r="AF26" s="92">
        <v>164937500</v>
      </c>
      <c r="AG26" s="87">
        <f>+(2200000*5)*5+(1242500*5)+88085000</f>
        <v>149297500</v>
      </c>
      <c r="AH26" s="99">
        <f t="shared" si="0"/>
        <v>0.90517620310723756</v>
      </c>
      <c r="AI26" s="87">
        <v>149297500</v>
      </c>
      <c r="AJ26" s="100">
        <f t="shared" si="1"/>
        <v>0.90517620310723756</v>
      </c>
      <c r="AK26" s="101" t="s">
        <v>176</v>
      </c>
      <c r="AL26" s="94" t="s">
        <v>177</v>
      </c>
      <c r="AM26" s="54"/>
    </row>
    <row r="27" spans="2:39" ht="54" customHeight="1" x14ac:dyDescent="0.2">
      <c r="B27" s="332"/>
      <c r="C27" s="331"/>
      <c r="D27" s="256"/>
      <c r="E27" s="331"/>
      <c r="F27" s="331"/>
      <c r="G27" s="247"/>
      <c r="H27" s="257"/>
      <c r="I27" s="247"/>
      <c r="J27" s="247"/>
      <c r="K27" s="247"/>
      <c r="L27" s="247"/>
      <c r="M27" s="247"/>
      <c r="N27" s="299"/>
      <c r="O27" s="390"/>
      <c r="P27" s="250"/>
      <c r="Q27" s="76" t="s">
        <v>85</v>
      </c>
      <c r="R27" s="55">
        <v>0.2</v>
      </c>
      <c r="S27" s="158">
        <v>0</v>
      </c>
      <c r="T27" s="158">
        <v>0</v>
      </c>
      <c r="U27" s="203">
        <v>0</v>
      </c>
      <c r="V27" s="158"/>
      <c r="W27" s="158">
        <f>SUM(S27:V27)</f>
        <v>0</v>
      </c>
      <c r="X27" s="85" t="s">
        <v>70</v>
      </c>
      <c r="Y27" s="210"/>
      <c r="Z27" s="76"/>
      <c r="AA27" s="256"/>
      <c r="AB27" s="317"/>
      <c r="AC27" s="54" t="s">
        <v>68</v>
      </c>
      <c r="AD27" s="85" t="s">
        <v>68</v>
      </c>
      <c r="AE27" s="85" t="s">
        <v>68</v>
      </c>
      <c r="AF27" s="105" t="s">
        <v>68</v>
      </c>
      <c r="AG27" s="105" t="s">
        <v>68</v>
      </c>
      <c r="AH27" s="105" t="s">
        <v>68</v>
      </c>
      <c r="AI27" s="105" t="s">
        <v>68</v>
      </c>
      <c r="AJ27" s="105" t="s">
        <v>68</v>
      </c>
      <c r="AK27" s="101" t="s">
        <v>176</v>
      </c>
      <c r="AL27" s="94" t="s">
        <v>177</v>
      </c>
      <c r="AM27" s="54"/>
    </row>
    <row r="28" spans="2:39" ht="51" x14ac:dyDescent="0.2">
      <c r="B28" s="332"/>
      <c r="C28" s="330" t="s">
        <v>45</v>
      </c>
      <c r="D28" s="256"/>
      <c r="E28" s="330" t="s">
        <v>238</v>
      </c>
      <c r="F28" s="336">
        <v>0.6</v>
      </c>
      <c r="G28" s="246" t="s">
        <v>47</v>
      </c>
      <c r="H28" s="255">
        <v>0.5</v>
      </c>
      <c r="I28" s="246" t="s">
        <v>65</v>
      </c>
      <c r="J28" s="246">
        <v>18</v>
      </c>
      <c r="K28" s="246">
        <v>18</v>
      </c>
      <c r="L28" s="246" t="s">
        <v>66</v>
      </c>
      <c r="M28" s="246">
        <v>18</v>
      </c>
      <c r="N28" s="406">
        <f>+SUMPRODUCT(R28:R45*W28:W45)*M28</f>
        <v>18.000000000000004</v>
      </c>
      <c r="O28" s="388">
        <f>SUMPRODUCT(R28:R45*U28:U45)</f>
        <v>0.50000000000000011</v>
      </c>
      <c r="P28" s="248">
        <f>SUMPRODUCT(R28:R45*W28:W45)</f>
        <v>1.0000000000000002</v>
      </c>
      <c r="Q28" s="190" t="s">
        <v>86</v>
      </c>
      <c r="R28" s="192">
        <v>5.5555555555555552E-2</v>
      </c>
      <c r="S28" s="192">
        <v>0.5</v>
      </c>
      <c r="T28" s="158">
        <v>0</v>
      </c>
      <c r="U28" s="203">
        <v>0.5</v>
      </c>
      <c r="V28" s="158"/>
      <c r="W28" s="158">
        <f t="shared" ref="W28:W45" si="3">SUM(S28:V28)</f>
        <v>1</v>
      </c>
      <c r="X28" s="85" t="s">
        <v>70</v>
      </c>
      <c r="Y28" s="210" t="s">
        <v>187</v>
      </c>
      <c r="Z28" s="76" t="s">
        <v>255</v>
      </c>
      <c r="AA28" s="256"/>
      <c r="AB28" s="317"/>
      <c r="AC28" s="308" t="s">
        <v>165</v>
      </c>
      <c r="AD28" s="246" t="s">
        <v>157</v>
      </c>
      <c r="AE28" s="244">
        <v>419767500</v>
      </c>
      <c r="AF28" s="309">
        <v>419767500</v>
      </c>
      <c r="AG28" s="242">
        <f>+((1525000*30)*4.5)+6920000+200000000</f>
        <v>412795000</v>
      </c>
      <c r="AH28" s="293">
        <f>+AG28/AF28</f>
        <v>0.98338961448897311</v>
      </c>
      <c r="AI28" s="242">
        <v>412795000</v>
      </c>
      <c r="AJ28" s="304">
        <f>+AI28/AF28</f>
        <v>0.98338961448897311</v>
      </c>
      <c r="AK28" s="101" t="s">
        <v>176</v>
      </c>
      <c r="AL28" s="94" t="s">
        <v>177</v>
      </c>
      <c r="AM28" s="54"/>
    </row>
    <row r="29" spans="2:39" ht="51" x14ac:dyDescent="0.2">
      <c r="B29" s="332"/>
      <c r="C29" s="332"/>
      <c r="D29" s="256"/>
      <c r="E29" s="332"/>
      <c r="F29" s="337"/>
      <c r="G29" s="254"/>
      <c r="H29" s="256"/>
      <c r="I29" s="254"/>
      <c r="J29" s="254"/>
      <c r="K29" s="254"/>
      <c r="L29" s="254"/>
      <c r="M29" s="254"/>
      <c r="N29" s="407"/>
      <c r="O29" s="389"/>
      <c r="P29" s="249"/>
      <c r="Q29" s="190" t="s">
        <v>87</v>
      </c>
      <c r="R29" s="192">
        <v>5.5555555555555552E-2</v>
      </c>
      <c r="S29" s="192">
        <v>0.5</v>
      </c>
      <c r="T29" s="158">
        <v>0</v>
      </c>
      <c r="U29" s="203">
        <v>0.5</v>
      </c>
      <c r="V29" s="158"/>
      <c r="W29" s="158">
        <f t="shared" si="3"/>
        <v>1</v>
      </c>
      <c r="X29" s="85" t="s">
        <v>70</v>
      </c>
      <c r="Y29" s="210" t="s">
        <v>187</v>
      </c>
      <c r="Z29" s="222" t="s">
        <v>255</v>
      </c>
      <c r="AA29" s="256"/>
      <c r="AB29" s="317"/>
      <c r="AC29" s="254"/>
      <c r="AD29" s="254"/>
      <c r="AE29" s="311"/>
      <c r="AF29" s="313"/>
      <c r="AG29" s="307"/>
      <c r="AH29" s="294"/>
      <c r="AI29" s="307"/>
      <c r="AJ29" s="305"/>
      <c r="AK29" s="101" t="s">
        <v>176</v>
      </c>
      <c r="AL29" s="94" t="s">
        <v>177</v>
      </c>
      <c r="AM29" s="54"/>
    </row>
    <row r="30" spans="2:39" ht="51" x14ac:dyDescent="0.2">
      <c r="B30" s="332"/>
      <c r="C30" s="332"/>
      <c r="D30" s="256"/>
      <c r="E30" s="332"/>
      <c r="F30" s="337"/>
      <c r="G30" s="254"/>
      <c r="H30" s="256"/>
      <c r="I30" s="254"/>
      <c r="J30" s="254"/>
      <c r="K30" s="254"/>
      <c r="L30" s="254"/>
      <c r="M30" s="254"/>
      <c r="N30" s="407"/>
      <c r="O30" s="389"/>
      <c r="P30" s="249"/>
      <c r="Q30" s="190" t="s">
        <v>88</v>
      </c>
      <c r="R30" s="192">
        <v>5.5555555555555552E-2</v>
      </c>
      <c r="S30" s="192">
        <v>0.5</v>
      </c>
      <c r="T30" s="158">
        <v>0</v>
      </c>
      <c r="U30" s="203">
        <v>0.5</v>
      </c>
      <c r="V30" s="158"/>
      <c r="W30" s="158">
        <f t="shared" si="3"/>
        <v>1</v>
      </c>
      <c r="X30" s="85" t="s">
        <v>70</v>
      </c>
      <c r="Y30" s="210" t="s">
        <v>187</v>
      </c>
      <c r="Z30" s="222" t="s">
        <v>255</v>
      </c>
      <c r="AA30" s="256"/>
      <c r="AB30" s="317"/>
      <c r="AC30" s="254"/>
      <c r="AD30" s="254"/>
      <c r="AE30" s="311"/>
      <c r="AF30" s="313"/>
      <c r="AG30" s="307"/>
      <c r="AH30" s="294"/>
      <c r="AI30" s="307"/>
      <c r="AJ30" s="305"/>
      <c r="AK30" s="101" t="s">
        <v>176</v>
      </c>
      <c r="AL30" s="94" t="s">
        <v>177</v>
      </c>
      <c r="AM30" s="54"/>
    </row>
    <row r="31" spans="2:39" ht="51" x14ac:dyDescent="0.2">
      <c r="B31" s="332"/>
      <c r="C31" s="332"/>
      <c r="D31" s="256"/>
      <c r="E31" s="332"/>
      <c r="F31" s="337"/>
      <c r="G31" s="254"/>
      <c r="H31" s="256"/>
      <c r="I31" s="254"/>
      <c r="J31" s="254"/>
      <c r="K31" s="254"/>
      <c r="L31" s="254"/>
      <c r="M31" s="254"/>
      <c r="N31" s="407"/>
      <c r="O31" s="389"/>
      <c r="P31" s="249"/>
      <c r="Q31" s="190" t="s">
        <v>89</v>
      </c>
      <c r="R31" s="192">
        <v>5.5555555555555552E-2</v>
      </c>
      <c r="S31" s="192">
        <v>0.5</v>
      </c>
      <c r="T31" s="158">
        <v>0</v>
      </c>
      <c r="U31" s="203">
        <v>0.5</v>
      </c>
      <c r="V31" s="158"/>
      <c r="W31" s="158">
        <f t="shared" si="3"/>
        <v>1</v>
      </c>
      <c r="X31" s="85" t="s">
        <v>70</v>
      </c>
      <c r="Y31" s="210" t="s">
        <v>187</v>
      </c>
      <c r="Z31" s="222" t="s">
        <v>255</v>
      </c>
      <c r="AA31" s="256"/>
      <c r="AB31" s="317"/>
      <c r="AC31" s="254"/>
      <c r="AD31" s="254"/>
      <c r="AE31" s="311"/>
      <c r="AF31" s="313"/>
      <c r="AG31" s="307"/>
      <c r="AH31" s="294"/>
      <c r="AI31" s="307"/>
      <c r="AJ31" s="305"/>
      <c r="AK31" s="101" t="s">
        <v>176</v>
      </c>
      <c r="AL31" s="94" t="s">
        <v>177</v>
      </c>
      <c r="AM31" s="54"/>
    </row>
    <row r="32" spans="2:39" ht="51" x14ac:dyDescent="0.2">
      <c r="B32" s="332"/>
      <c r="C32" s="332"/>
      <c r="D32" s="256"/>
      <c r="E32" s="332"/>
      <c r="F32" s="337"/>
      <c r="G32" s="254"/>
      <c r="H32" s="256"/>
      <c r="I32" s="254"/>
      <c r="J32" s="254"/>
      <c r="K32" s="254"/>
      <c r="L32" s="254"/>
      <c r="M32" s="254"/>
      <c r="N32" s="407"/>
      <c r="O32" s="389"/>
      <c r="P32" s="249"/>
      <c r="Q32" s="190" t="s">
        <v>90</v>
      </c>
      <c r="R32" s="192">
        <v>5.5555555555555552E-2</v>
      </c>
      <c r="S32" s="192">
        <v>0.5</v>
      </c>
      <c r="T32" s="158">
        <v>0</v>
      </c>
      <c r="U32" s="203">
        <v>0.5</v>
      </c>
      <c r="V32" s="158"/>
      <c r="W32" s="158">
        <f t="shared" si="3"/>
        <v>1</v>
      </c>
      <c r="X32" s="85" t="s">
        <v>70</v>
      </c>
      <c r="Y32" s="210" t="s">
        <v>187</v>
      </c>
      <c r="Z32" s="222" t="s">
        <v>255</v>
      </c>
      <c r="AA32" s="256"/>
      <c r="AB32" s="317"/>
      <c r="AC32" s="254"/>
      <c r="AD32" s="254"/>
      <c r="AE32" s="311"/>
      <c r="AF32" s="313"/>
      <c r="AG32" s="307"/>
      <c r="AH32" s="294"/>
      <c r="AI32" s="307"/>
      <c r="AJ32" s="305"/>
      <c r="AK32" s="101" t="s">
        <v>176</v>
      </c>
      <c r="AL32" s="94" t="s">
        <v>177</v>
      </c>
      <c r="AM32" s="54"/>
    </row>
    <row r="33" spans="2:39" ht="51" x14ac:dyDescent="0.2">
      <c r="B33" s="332"/>
      <c r="C33" s="332"/>
      <c r="D33" s="256"/>
      <c r="E33" s="332"/>
      <c r="F33" s="337"/>
      <c r="G33" s="254"/>
      <c r="H33" s="256"/>
      <c r="I33" s="254"/>
      <c r="J33" s="254"/>
      <c r="K33" s="254"/>
      <c r="L33" s="254"/>
      <c r="M33" s="254"/>
      <c r="N33" s="407"/>
      <c r="O33" s="389"/>
      <c r="P33" s="249"/>
      <c r="Q33" s="190" t="s">
        <v>91</v>
      </c>
      <c r="R33" s="192">
        <v>5.5555555555555552E-2</v>
      </c>
      <c r="S33" s="192">
        <v>0.5</v>
      </c>
      <c r="T33" s="158">
        <v>0</v>
      </c>
      <c r="U33" s="203">
        <v>0.5</v>
      </c>
      <c r="V33" s="158"/>
      <c r="W33" s="158">
        <f t="shared" si="3"/>
        <v>1</v>
      </c>
      <c r="X33" s="85" t="s">
        <v>70</v>
      </c>
      <c r="Y33" s="210" t="s">
        <v>187</v>
      </c>
      <c r="Z33" s="222" t="s">
        <v>255</v>
      </c>
      <c r="AA33" s="256"/>
      <c r="AB33" s="317"/>
      <c r="AC33" s="254"/>
      <c r="AD33" s="254"/>
      <c r="AE33" s="311"/>
      <c r="AF33" s="313"/>
      <c r="AG33" s="307"/>
      <c r="AH33" s="294"/>
      <c r="AI33" s="307"/>
      <c r="AJ33" s="305"/>
      <c r="AK33" s="101" t="s">
        <v>176</v>
      </c>
      <c r="AL33" s="94" t="s">
        <v>177</v>
      </c>
      <c r="AM33" s="54"/>
    </row>
    <row r="34" spans="2:39" ht="51" x14ac:dyDescent="0.2">
      <c r="B34" s="332"/>
      <c r="C34" s="332"/>
      <c r="D34" s="256"/>
      <c r="E34" s="332"/>
      <c r="F34" s="337"/>
      <c r="G34" s="254"/>
      <c r="H34" s="256"/>
      <c r="I34" s="254"/>
      <c r="J34" s="254"/>
      <c r="K34" s="254"/>
      <c r="L34" s="254"/>
      <c r="M34" s="254"/>
      <c r="N34" s="407"/>
      <c r="O34" s="389"/>
      <c r="P34" s="249"/>
      <c r="Q34" s="190" t="s">
        <v>92</v>
      </c>
      <c r="R34" s="192">
        <v>5.5555555555555552E-2</v>
      </c>
      <c r="S34" s="192">
        <v>0.5</v>
      </c>
      <c r="T34" s="158">
        <v>0</v>
      </c>
      <c r="U34" s="203">
        <v>0.5</v>
      </c>
      <c r="V34" s="158"/>
      <c r="W34" s="158">
        <f t="shared" si="3"/>
        <v>1</v>
      </c>
      <c r="X34" s="85" t="s">
        <v>70</v>
      </c>
      <c r="Y34" s="210" t="s">
        <v>187</v>
      </c>
      <c r="Z34" s="222" t="s">
        <v>255</v>
      </c>
      <c r="AA34" s="256"/>
      <c r="AB34" s="317"/>
      <c r="AC34" s="254"/>
      <c r="AD34" s="254"/>
      <c r="AE34" s="311"/>
      <c r="AF34" s="313"/>
      <c r="AG34" s="307"/>
      <c r="AH34" s="294"/>
      <c r="AI34" s="307"/>
      <c r="AJ34" s="305"/>
      <c r="AK34" s="101" t="s">
        <v>176</v>
      </c>
      <c r="AL34" s="94" t="s">
        <v>177</v>
      </c>
      <c r="AM34" s="54"/>
    </row>
    <row r="35" spans="2:39" ht="51" x14ac:dyDescent="0.2">
      <c r="B35" s="332"/>
      <c r="C35" s="332"/>
      <c r="D35" s="256"/>
      <c r="E35" s="332"/>
      <c r="F35" s="337"/>
      <c r="G35" s="254"/>
      <c r="H35" s="256"/>
      <c r="I35" s="254"/>
      <c r="J35" s="254"/>
      <c r="K35" s="254"/>
      <c r="L35" s="254"/>
      <c r="M35" s="254"/>
      <c r="N35" s="407"/>
      <c r="O35" s="389"/>
      <c r="P35" s="249"/>
      <c r="Q35" s="190" t="s">
        <v>93</v>
      </c>
      <c r="R35" s="192">
        <v>5.5555555555555552E-2</v>
      </c>
      <c r="S35" s="192">
        <v>0.5</v>
      </c>
      <c r="T35" s="158">
        <v>0</v>
      </c>
      <c r="U35" s="203">
        <v>0.5</v>
      </c>
      <c r="V35" s="158"/>
      <c r="W35" s="158">
        <f t="shared" si="3"/>
        <v>1</v>
      </c>
      <c r="X35" s="85" t="s">
        <v>70</v>
      </c>
      <c r="Y35" s="210" t="s">
        <v>187</v>
      </c>
      <c r="Z35" s="222" t="s">
        <v>255</v>
      </c>
      <c r="AA35" s="256"/>
      <c r="AB35" s="317"/>
      <c r="AC35" s="247"/>
      <c r="AD35" s="247"/>
      <c r="AE35" s="245"/>
      <c r="AF35" s="310"/>
      <c r="AG35" s="243"/>
      <c r="AH35" s="294"/>
      <c r="AI35" s="243"/>
      <c r="AJ35" s="305"/>
      <c r="AK35" s="101" t="s">
        <v>176</v>
      </c>
      <c r="AL35" s="94" t="s">
        <v>177</v>
      </c>
      <c r="AM35" s="54"/>
    </row>
    <row r="36" spans="2:39" ht="54" customHeight="1" x14ac:dyDescent="0.2">
      <c r="B36" s="332"/>
      <c r="C36" s="332"/>
      <c r="D36" s="256"/>
      <c r="E36" s="332"/>
      <c r="F36" s="337"/>
      <c r="G36" s="254"/>
      <c r="H36" s="256"/>
      <c r="I36" s="254"/>
      <c r="J36" s="254"/>
      <c r="K36" s="254"/>
      <c r="L36" s="254"/>
      <c r="M36" s="254"/>
      <c r="N36" s="407"/>
      <c r="O36" s="389"/>
      <c r="P36" s="249"/>
      <c r="Q36" s="190" t="s">
        <v>94</v>
      </c>
      <c r="R36" s="192">
        <v>5.5555555555555552E-2</v>
      </c>
      <c r="S36" s="192">
        <v>0.5</v>
      </c>
      <c r="T36" s="158">
        <v>0</v>
      </c>
      <c r="U36" s="203">
        <v>0.5</v>
      </c>
      <c r="V36" s="158"/>
      <c r="W36" s="158">
        <f t="shared" si="3"/>
        <v>1</v>
      </c>
      <c r="X36" s="85" t="s">
        <v>70</v>
      </c>
      <c r="Y36" s="210" t="s">
        <v>187</v>
      </c>
      <c r="Z36" s="222" t="s">
        <v>255</v>
      </c>
      <c r="AA36" s="256"/>
      <c r="AB36" s="317"/>
      <c r="AC36" s="319" t="s">
        <v>164</v>
      </c>
      <c r="AD36" s="254" t="s">
        <v>161</v>
      </c>
      <c r="AE36" s="296">
        <v>0</v>
      </c>
      <c r="AF36" s="313">
        <f>173957500-95542500+81542500</f>
        <v>159957500</v>
      </c>
      <c r="AG36" s="307">
        <f>75500000+2915000</f>
        <v>78415000</v>
      </c>
      <c r="AH36" s="293">
        <f>+AG36/AF36</f>
        <v>0.49022396574089994</v>
      </c>
      <c r="AI36" s="307">
        <v>78415000</v>
      </c>
      <c r="AJ36" s="304">
        <f>+AI36/AF36</f>
        <v>0.49022396574089994</v>
      </c>
      <c r="AK36" s="101" t="s">
        <v>176</v>
      </c>
      <c r="AL36" s="94" t="s">
        <v>177</v>
      </c>
      <c r="AM36" s="54"/>
    </row>
    <row r="37" spans="2:39" ht="51" x14ac:dyDescent="0.2">
      <c r="B37" s="332"/>
      <c r="C37" s="332"/>
      <c r="D37" s="256"/>
      <c r="E37" s="332"/>
      <c r="F37" s="337"/>
      <c r="G37" s="254"/>
      <c r="H37" s="256"/>
      <c r="I37" s="254"/>
      <c r="J37" s="254"/>
      <c r="K37" s="254"/>
      <c r="L37" s="254"/>
      <c r="M37" s="254"/>
      <c r="N37" s="407"/>
      <c r="O37" s="389"/>
      <c r="P37" s="249"/>
      <c r="Q37" s="190" t="s">
        <v>95</v>
      </c>
      <c r="R37" s="192">
        <v>5.5555555555555552E-2</v>
      </c>
      <c r="S37" s="192">
        <v>0.5</v>
      </c>
      <c r="T37" s="158">
        <v>0</v>
      </c>
      <c r="U37" s="203">
        <v>0.5</v>
      </c>
      <c r="V37" s="158"/>
      <c r="W37" s="158">
        <f t="shared" si="3"/>
        <v>1</v>
      </c>
      <c r="X37" s="85" t="s">
        <v>70</v>
      </c>
      <c r="Y37" s="210" t="s">
        <v>187</v>
      </c>
      <c r="Z37" s="222" t="s">
        <v>255</v>
      </c>
      <c r="AA37" s="256"/>
      <c r="AB37" s="317"/>
      <c r="AC37" s="254"/>
      <c r="AD37" s="254"/>
      <c r="AE37" s="297"/>
      <c r="AF37" s="313"/>
      <c r="AG37" s="307"/>
      <c r="AH37" s="294"/>
      <c r="AI37" s="307"/>
      <c r="AJ37" s="305"/>
      <c r="AK37" s="101" t="s">
        <v>176</v>
      </c>
      <c r="AL37" s="94" t="s">
        <v>177</v>
      </c>
      <c r="AM37" s="54"/>
    </row>
    <row r="38" spans="2:39" ht="51" x14ac:dyDescent="0.2">
      <c r="B38" s="332"/>
      <c r="C38" s="332"/>
      <c r="D38" s="256"/>
      <c r="E38" s="332"/>
      <c r="F38" s="337"/>
      <c r="G38" s="254"/>
      <c r="H38" s="256"/>
      <c r="I38" s="254"/>
      <c r="J38" s="254"/>
      <c r="K38" s="254"/>
      <c r="L38" s="254"/>
      <c r="M38" s="254"/>
      <c r="N38" s="407"/>
      <c r="O38" s="389"/>
      <c r="P38" s="249"/>
      <c r="Q38" s="190" t="s">
        <v>96</v>
      </c>
      <c r="R38" s="192">
        <v>5.5555555555555552E-2</v>
      </c>
      <c r="S38" s="192">
        <v>0.5</v>
      </c>
      <c r="T38" s="158">
        <v>0</v>
      </c>
      <c r="U38" s="203">
        <v>0.5</v>
      </c>
      <c r="V38" s="158"/>
      <c r="W38" s="158">
        <f t="shared" si="3"/>
        <v>1</v>
      </c>
      <c r="X38" s="85" t="s">
        <v>70</v>
      </c>
      <c r="Y38" s="210" t="s">
        <v>187</v>
      </c>
      <c r="Z38" s="222" t="s">
        <v>255</v>
      </c>
      <c r="AA38" s="256"/>
      <c r="AB38" s="317"/>
      <c r="AC38" s="254"/>
      <c r="AD38" s="254"/>
      <c r="AE38" s="297"/>
      <c r="AF38" s="313"/>
      <c r="AG38" s="307"/>
      <c r="AH38" s="294"/>
      <c r="AI38" s="307"/>
      <c r="AJ38" s="305"/>
      <c r="AK38" s="101" t="s">
        <v>176</v>
      </c>
      <c r="AL38" s="94" t="s">
        <v>177</v>
      </c>
      <c r="AM38" s="54"/>
    </row>
    <row r="39" spans="2:39" ht="51" x14ac:dyDescent="0.2">
      <c r="B39" s="332"/>
      <c r="C39" s="332"/>
      <c r="D39" s="256"/>
      <c r="E39" s="332"/>
      <c r="F39" s="337"/>
      <c r="G39" s="254"/>
      <c r="H39" s="256"/>
      <c r="I39" s="254"/>
      <c r="J39" s="254"/>
      <c r="K39" s="254"/>
      <c r="L39" s="254"/>
      <c r="M39" s="254"/>
      <c r="N39" s="407"/>
      <c r="O39" s="389"/>
      <c r="P39" s="249"/>
      <c r="Q39" s="190" t="s">
        <v>97</v>
      </c>
      <c r="R39" s="192">
        <v>5.5555555555555552E-2</v>
      </c>
      <c r="S39" s="192">
        <v>0.5</v>
      </c>
      <c r="T39" s="158">
        <v>0</v>
      </c>
      <c r="U39" s="203">
        <v>0.5</v>
      </c>
      <c r="V39" s="158"/>
      <c r="W39" s="158">
        <f t="shared" si="3"/>
        <v>1</v>
      </c>
      <c r="X39" s="85" t="s">
        <v>70</v>
      </c>
      <c r="Y39" s="210" t="s">
        <v>187</v>
      </c>
      <c r="Z39" s="222" t="s">
        <v>255</v>
      </c>
      <c r="AA39" s="256"/>
      <c r="AB39" s="317"/>
      <c r="AC39" s="254"/>
      <c r="AD39" s="254"/>
      <c r="AE39" s="297"/>
      <c r="AF39" s="313"/>
      <c r="AG39" s="307"/>
      <c r="AH39" s="294"/>
      <c r="AI39" s="307"/>
      <c r="AJ39" s="305"/>
      <c r="AK39" s="101" t="s">
        <v>176</v>
      </c>
      <c r="AL39" s="94" t="s">
        <v>177</v>
      </c>
      <c r="AM39" s="54"/>
    </row>
    <row r="40" spans="2:39" ht="51" x14ac:dyDescent="0.2">
      <c r="B40" s="332"/>
      <c r="C40" s="332"/>
      <c r="D40" s="256"/>
      <c r="E40" s="332"/>
      <c r="F40" s="337"/>
      <c r="G40" s="254"/>
      <c r="H40" s="256"/>
      <c r="I40" s="254"/>
      <c r="J40" s="254"/>
      <c r="K40" s="254"/>
      <c r="L40" s="254"/>
      <c r="M40" s="254"/>
      <c r="N40" s="407"/>
      <c r="O40" s="389"/>
      <c r="P40" s="249"/>
      <c r="Q40" s="190" t="s">
        <v>98</v>
      </c>
      <c r="R40" s="192">
        <v>5.5555555555555552E-2</v>
      </c>
      <c r="S40" s="192">
        <v>0.5</v>
      </c>
      <c r="T40" s="158">
        <v>0</v>
      </c>
      <c r="U40" s="203">
        <v>0.5</v>
      </c>
      <c r="V40" s="158"/>
      <c r="W40" s="158">
        <f t="shared" si="3"/>
        <v>1</v>
      </c>
      <c r="X40" s="85" t="s">
        <v>70</v>
      </c>
      <c r="Y40" s="210" t="s">
        <v>187</v>
      </c>
      <c r="Z40" s="222" t="s">
        <v>255</v>
      </c>
      <c r="AA40" s="256"/>
      <c r="AB40" s="317"/>
      <c r="AC40" s="254"/>
      <c r="AD40" s="254"/>
      <c r="AE40" s="297"/>
      <c r="AF40" s="313"/>
      <c r="AG40" s="307"/>
      <c r="AH40" s="294"/>
      <c r="AI40" s="307"/>
      <c r="AJ40" s="305"/>
      <c r="AK40" s="101" t="s">
        <v>176</v>
      </c>
      <c r="AL40" s="94" t="s">
        <v>177</v>
      </c>
      <c r="AM40" s="54"/>
    </row>
    <row r="41" spans="2:39" ht="51" x14ac:dyDescent="0.2">
      <c r="B41" s="332"/>
      <c r="C41" s="332"/>
      <c r="D41" s="256"/>
      <c r="E41" s="332"/>
      <c r="F41" s="337"/>
      <c r="G41" s="254"/>
      <c r="H41" s="256"/>
      <c r="I41" s="254"/>
      <c r="J41" s="254"/>
      <c r="K41" s="254"/>
      <c r="L41" s="254"/>
      <c r="M41" s="254"/>
      <c r="N41" s="407"/>
      <c r="O41" s="389"/>
      <c r="P41" s="249"/>
      <c r="Q41" s="190" t="s">
        <v>99</v>
      </c>
      <c r="R41" s="192">
        <v>5.5555555555555552E-2</v>
      </c>
      <c r="S41" s="192">
        <v>0.5</v>
      </c>
      <c r="T41" s="158">
        <v>0</v>
      </c>
      <c r="U41" s="203">
        <v>0.5</v>
      </c>
      <c r="V41" s="158"/>
      <c r="W41" s="158">
        <f t="shared" si="3"/>
        <v>1</v>
      </c>
      <c r="X41" s="85" t="s">
        <v>70</v>
      </c>
      <c r="Y41" s="210" t="s">
        <v>187</v>
      </c>
      <c r="Z41" s="222" t="s">
        <v>255</v>
      </c>
      <c r="AA41" s="256"/>
      <c r="AB41" s="317"/>
      <c r="AC41" s="254"/>
      <c r="AD41" s="254"/>
      <c r="AE41" s="297"/>
      <c r="AF41" s="313"/>
      <c r="AG41" s="307"/>
      <c r="AH41" s="294"/>
      <c r="AI41" s="307"/>
      <c r="AJ41" s="305"/>
      <c r="AK41" s="101" t="s">
        <v>176</v>
      </c>
      <c r="AL41" s="94" t="s">
        <v>177</v>
      </c>
      <c r="AM41" s="54"/>
    </row>
    <row r="42" spans="2:39" ht="51" x14ac:dyDescent="0.2">
      <c r="B42" s="332"/>
      <c r="C42" s="332"/>
      <c r="D42" s="256"/>
      <c r="E42" s="332"/>
      <c r="F42" s="337"/>
      <c r="G42" s="254"/>
      <c r="H42" s="256"/>
      <c r="I42" s="254"/>
      <c r="J42" s="254"/>
      <c r="K42" s="254"/>
      <c r="L42" s="254"/>
      <c r="M42" s="254"/>
      <c r="N42" s="407"/>
      <c r="O42" s="389"/>
      <c r="P42" s="249"/>
      <c r="Q42" s="190" t="s">
        <v>100</v>
      </c>
      <c r="R42" s="192">
        <v>5.5555555555555552E-2</v>
      </c>
      <c r="S42" s="192">
        <v>0.5</v>
      </c>
      <c r="T42" s="158">
        <v>0</v>
      </c>
      <c r="U42" s="203">
        <v>0.5</v>
      </c>
      <c r="V42" s="158"/>
      <c r="W42" s="158">
        <f t="shared" si="3"/>
        <v>1</v>
      </c>
      <c r="X42" s="85" t="s">
        <v>70</v>
      </c>
      <c r="Y42" s="210" t="s">
        <v>187</v>
      </c>
      <c r="Z42" s="222" t="s">
        <v>255</v>
      </c>
      <c r="AA42" s="256"/>
      <c r="AB42" s="317"/>
      <c r="AC42" s="254"/>
      <c r="AD42" s="254"/>
      <c r="AE42" s="297"/>
      <c r="AF42" s="313"/>
      <c r="AG42" s="307"/>
      <c r="AH42" s="294"/>
      <c r="AI42" s="307"/>
      <c r="AJ42" s="305"/>
      <c r="AK42" s="101" t="s">
        <v>176</v>
      </c>
      <c r="AL42" s="94" t="s">
        <v>177</v>
      </c>
      <c r="AM42" s="54"/>
    </row>
    <row r="43" spans="2:39" ht="51" x14ac:dyDescent="0.2">
      <c r="B43" s="332"/>
      <c r="C43" s="332"/>
      <c r="D43" s="256"/>
      <c r="E43" s="332"/>
      <c r="F43" s="337"/>
      <c r="G43" s="254"/>
      <c r="H43" s="256"/>
      <c r="I43" s="254"/>
      <c r="J43" s="254"/>
      <c r="K43" s="254"/>
      <c r="L43" s="254"/>
      <c r="M43" s="254"/>
      <c r="N43" s="407"/>
      <c r="O43" s="389"/>
      <c r="P43" s="249"/>
      <c r="Q43" s="190" t="s">
        <v>101</v>
      </c>
      <c r="R43" s="192">
        <v>5.5555555555555552E-2</v>
      </c>
      <c r="S43" s="192">
        <v>0.5</v>
      </c>
      <c r="T43" s="158">
        <v>0</v>
      </c>
      <c r="U43" s="203">
        <v>0.5</v>
      </c>
      <c r="V43" s="158"/>
      <c r="W43" s="158">
        <f t="shared" si="3"/>
        <v>1</v>
      </c>
      <c r="X43" s="85" t="s">
        <v>70</v>
      </c>
      <c r="Y43" s="210" t="s">
        <v>187</v>
      </c>
      <c r="Z43" s="222" t="s">
        <v>255</v>
      </c>
      <c r="AA43" s="256"/>
      <c r="AB43" s="317"/>
      <c r="AC43" s="254"/>
      <c r="AD43" s="254"/>
      <c r="AE43" s="297"/>
      <c r="AF43" s="313"/>
      <c r="AG43" s="307"/>
      <c r="AH43" s="294"/>
      <c r="AI43" s="307"/>
      <c r="AJ43" s="305"/>
      <c r="AK43" s="101" t="s">
        <v>176</v>
      </c>
      <c r="AL43" s="94" t="s">
        <v>177</v>
      </c>
      <c r="AM43" s="54"/>
    </row>
    <row r="44" spans="2:39" ht="51" x14ac:dyDescent="0.2">
      <c r="B44" s="332"/>
      <c r="C44" s="332"/>
      <c r="D44" s="256"/>
      <c r="E44" s="332"/>
      <c r="F44" s="337"/>
      <c r="G44" s="254"/>
      <c r="H44" s="256"/>
      <c r="I44" s="254"/>
      <c r="J44" s="254"/>
      <c r="K44" s="254"/>
      <c r="L44" s="254"/>
      <c r="M44" s="254"/>
      <c r="N44" s="407"/>
      <c r="O44" s="389"/>
      <c r="P44" s="249"/>
      <c r="Q44" s="190" t="s">
        <v>102</v>
      </c>
      <c r="R44" s="192">
        <v>5.5555555555555552E-2</v>
      </c>
      <c r="S44" s="192">
        <v>0.5</v>
      </c>
      <c r="T44" s="158">
        <v>0</v>
      </c>
      <c r="U44" s="203">
        <v>0.5</v>
      </c>
      <c r="V44" s="158"/>
      <c r="W44" s="158">
        <f t="shared" si="3"/>
        <v>1</v>
      </c>
      <c r="X44" s="85" t="s">
        <v>70</v>
      </c>
      <c r="Y44" s="210" t="s">
        <v>187</v>
      </c>
      <c r="Z44" s="222" t="s">
        <v>255</v>
      </c>
      <c r="AA44" s="256"/>
      <c r="AB44" s="317"/>
      <c r="AC44" s="254"/>
      <c r="AD44" s="254"/>
      <c r="AE44" s="297"/>
      <c r="AF44" s="313"/>
      <c r="AG44" s="307"/>
      <c r="AH44" s="294"/>
      <c r="AI44" s="307"/>
      <c r="AJ44" s="305"/>
      <c r="AK44" s="101" t="s">
        <v>176</v>
      </c>
      <c r="AL44" s="94" t="s">
        <v>177</v>
      </c>
      <c r="AM44" s="54"/>
    </row>
    <row r="45" spans="2:39" ht="51" x14ac:dyDescent="0.2">
      <c r="B45" s="332"/>
      <c r="C45" s="331"/>
      <c r="D45" s="256"/>
      <c r="E45" s="331"/>
      <c r="F45" s="337"/>
      <c r="G45" s="247"/>
      <c r="H45" s="257"/>
      <c r="I45" s="247"/>
      <c r="J45" s="247"/>
      <c r="K45" s="247"/>
      <c r="L45" s="247"/>
      <c r="M45" s="247"/>
      <c r="N45" s="408"/>
      <c r="O45" s="390"/>
      <c r="P45" s="250"/>
      <c r="Q45" s="190" t="s">
        <v>103</v>
      </c>
      <c r="R45" s="192">
        <v>5.5555555555555552E-2</v>
      </c>
      <c r="S45" s="192">
        <v>0.5</v>
      </c>
      <c r="T45" s="158">
        <v>0</v>
      </c>
      <c r="U45" s="203">
        <v>0.5</v>
      </c>
      <c r="V45" s="158"/>
      <c r="W45" s="158">
        <f t="shared" si="3"/>
        <v>1</v>
      </c>
      <c r="X45" s="85" t="s">
        <v>70</v>
      </c>
      <c r="Y45" s="210" t="s">
        <v>187</v>
      </c>
      <c r="Z45" s="222" t="s">
        <v>255</v>
      </c>
      <c r="AA45" s="256"/>
      <c r="AB45" s="317"/>
      <c r="AC45" s="247"/>
      <c r="AD45" s="247"/>
      <c r="AE45" s="312"/>
      <c r="AF45" s="310"/>
      <c r="AG45" s="243"/>
      <c r="AH45" s="320"/>
      <c r="AI45" s="243"/>
      <c r="AJ45" s="306"/>
      <c r="AK45" s="101" t="s">
        <v>176</v>
      </c>
      <c r="AL45" s="94" t="s">
        <v>177</v>
      </c>
      <c r="AM45" s="54"/>
    </row>
    <row r="46" spans="2:39" ht="39.75" customHeight="1" x14ac:dyDescent="0.2">
      <c r="B46" s="332"/>
      <c r="C46" s="330" t="s">
        <v>45</v>
      </c>
      <c r="D46" s="256"/>
      <c r="E46" s="330" t="s">
        <v>238</v>
      </c>
      <c r="F46" s="337"/>
      <c r="G46" s="246" t="s">
        <v>48</v>
      </c>
      <c r="H46" s="255">
        <v>0.15</v>
      </c>
      <c r="I46" s="246" t="s">
        <v>65</v>
      </c>
      <c r="J46" s="246">
        <v>3</v>
      </c>
      <c r="K46" s="246">
        <v>3</v>
      </c>
      <c r="L46" s="246" t="s">
        <v>66</v>
      </c>
      <c r="M46" s="246">
        <v>3</v>
      </c>
      <c r="N46" s="251">
        <f>(W46*R46+W52*R52+W56*R56)*3</f>
        <v>2.3909099999999999</v>
      </c>
      <c r="O46" s="388">
        <f>SUMPRODUCT(R46*U46)+(R52*U52)+(R56*U56)</f>
        <v>0.57350000000000012</v>
      </c>
      <c r="P46" s="248">
        <f>SUMPRODUCT(R46*W46)+(R52*W52)+(R56*W56)</f>
        <v>0.79696999999999996</v>
      </c>
      <c r="Q46" s="161" t="s">
        <v>104</v>
      </c>
      <c r="R46" s="162">
        <v>0.33</v>
      </c>
      <c r="S46" s="162">
        <f>+S47+S49</f>
        <v>0.36363636363636365</v>
      </c>
      <c r="T46" s="163">
        <f>+T47+T49</f>
        <v>0.159</v>
      </c>
      <c r="U46" s="204">
        <f>+U47+U49</f>
        <v>0.3</v>
      </c>
      <c r="V46" s="194">
        <f>+V47+V49</f>
        <v>0</v>
      </c>
      <c r="W46" s="162">
        <f>SUM(S46:V46)</f>
        <v>0.82263636363636361</v>
      </c>
      <c r="X46" s="53"/>
      <c r="Y46" s="211" t="s">
        <v>188</v>
      </c>
      <c r="Z46" s="77"/>
      <c r="AA46" s="256"/>
      <c r="AB46" s="317"/>
      <c r="AC46" s="81" t="s">
        <v>68</v>
      </c>
      <c r="AD46" s="81" t="s">
        <v>68</v>
      </c>
      <c r="AE46" s="81" t="s">
        <v>68</v>
      </c>
      <c r="AF46" s="106" t="s">
        <v>68</v>
      </c>
      <c r="AG46" s="106" t="s">
        <v>68</v>
      </c>
      <c r="AH46" s="106" t="s">
        <v>68</v>
      </c>
      <c r="AI46" s="106" t="s">
        <v>68</v>
      </c>
      <c r="AJ46" s="106" t="s">
        <v>68</v>
      </c>
      <c r="AK46" s="101" t="s">
        <v>176</v>
      </c>
      <c r="AL46" s="94" t="s">
        <v>177</v>
      </c>
      <c r="AM46" s="53"/>
    </row>
    <row r="47" spans="2:39" ht="39.75" customHeight="1" x14ac:dyDescent="0.2">
      <c r="B47" s="332"/>
      <c r="C47" s="332"/>
      <c r="D47" s="256"/>
      <c r="E47" s="332"/>
      <c r="F47" s="337"/>
      <c r="G47" s="254"/>
      <c r="H47" s="256"/>
      <c r="I47" s="254"/>
      <c r="J47" s="254"/>
      <c r="K47" s="254"/>
      <c r="L47" s="254"/>
      <c r="M47" s="254"/>
      <c r="N47" s="252"/>
      <c r="O47" s="389"/>
      <c r="P47" s="249"/>
      <c r="Q47" s="261" t="s">
        <v>105</v>
      </c>
      <c r="R47" s="258">
        <v>0.5</v>
      </c>
      <c r="S47" s="258">
        <v>0.18181818181818182</v>
      </c>
      <c r="T47" s="258">
        <v>7.9500000000000001E-2</v>
      </c>
      <c r="U47" s="432">
        <v>0.15</v>
      </c>
      <c r="V47" s="395"/>
      <c r="W47" s="258">
        <f>+SUM(S47:V48)</f>
        <v>0.41131818181818181</v>
      </c>
      <c r="X47" s="246" t="s">
        <v>70</v>
      </c>
      <c r="Y47" s="264" t="s">
        <v>193</v>
      </c>
      <c r="Z47" s="261" t="s">
        <v>186</v>
      </c>
      <c r="AA47" s="256"/>
      <c r="AB47" s="317"/>
      <c r="AC47" s="80" t="s">
        <v>234</v>
      </c>
      <c r="AD47" s="80" t="s">
        <v>161</v>
      </c>
      <c r="AE47" s="175">
        <v>0</v>
      </c>
      <c r="AF47" s="174">
        <f>45542500-41542500</f>
        <v>4000000</v>
      </c>
      <c r="AG47" s="106">
        <v>0</v>
      </c>
      <c r="AH47" s="99">
        <f>+AG47/AF47</f>
        <v>0</v>
      </c>
      <c r="AI47" s="106">
        <v>0</v>
      </c>
      <c r="AJ47" s="100">
        <f>+AI47/AF47</f>
        <v>0</v>
      </c>
      <c r="AK47" s="101"/>
      <c r="AL47" s="94"/>
      <c r="AM47" s="53"/>
    </row>
    <row r="48" spans="2:39" ht="33" customHeight="1" x14ac:dyDescent="0.2">
      <c r="B48" s="332"/>
      <c r="C48" s="332"/>
      <c r="D48" s="256"/>
      <c r="E48" s="332"/>
      <c r="F48" s="337"/>
      <c r="G48" s="254"/>
      <c r="H48" s="256"/>
      <c r="I48" s="254"/>
      <c r="J48" s="254"/>
      <c r="K48" s="254"/>
      <c r="L48" s="254"/>
      <c r="M48" s="254"/>
      <c r="N48" s="252"/>
      <c r="O48" s="389"/>
      <c r="P48" s="249"/>
      <c r="Q48" s="263"/>
      <c r="R48" s="260"/>
      <c r="S48" s="260"/>
      <c r="T48" s="260"/>
      <c r="U48" s="433"/>
      <c r="V48" s="357"/>
      <c r="W48" s="260"/>
      <c r="X48" s="247"/>
      <c r="Y48" s="266"/>
      <c r="Z48" s="263"/>
      <c r="AA48" s="256"/>
      <c r="AB48" s="317"/>
      <c r="AC48" s="125" t="s">
        <v>165</v>
      </c>
      <c r="AD48" s="54" t="s">
        <v>157</v>
      </c>
      <c r="AE48" s="66">
        <v>57282500</v>
      </c>
      <c r="AF48" s="87">
        <v>57282500</v>
      </c>
      <c r="AG48" s="87">
        <f>(2200000+1525000+1800000+1800000+2200000+762500)*5</f>
        <v>51437500</v>
      </c>
      <c r="AH48" s="99">
        <f>+AG48/AF48</f>
        <v>0.89796185571509624</v>
      </c>
      <c r="AI48" s="87">
        <v>51437500</v>
      </c>
      <c r="AJ48" s="100">
        <f>+AI48/AF48</f>
        <v>0.89796185571509624</v>
      </c>
      <c r="AK48" s="101" t="s">
        <v>176</v>
      </c>
      <c r="AL48" s="94" t="s">
        <v>177</v>
      </c>
      <c r="AM48" s="54"/>
    </row>
    <row r="49" spans="2:39" ht="57" customHeight="1" x14ac:dyDescent="0.2">
      <c r="B49" s="332"/>
      <c r="C49" s="332"/>
      <c r="D49" s="256"/>
      <c r="E49" s="332"/>
      <c r="F49" s="337"/>
      <c r="G49" s="254"/>
      <c r="H49" s="256"/>
      <c r="I49" s="254"/>
      <c r="J49" s="254"/>
      <c r="K49" s="254"/>
      <c r="L49" s="254"/>
      <c r="M49" s="254"/>
      <c r="N49" s="252"/>
      <c r="O49" s="389"/>
      <c r="P49" s="249"/>
      <c r="Q49" s="261" t="s">
        <v>106</v>
      </c>
      <c r="R49" s="258">
        <v>0.5</v>
      </c>
      <c r="S49" s="258">
        <v>0.18181818181818182</v>
      </c>
      <c r="T49" s="258">
        <v>7.9500000000000001E-2</v>
      </c>
      <c r="U49" s="267">
        <v>0.15</v>
      </c>
      <c r="V49" s="258"/>
      <c r="W49" s="258">
        <f>+SUM(S49:V51)</f>
        <v>0.41131818181818181</v>
      </c>
      <c r="X49" s="246" t="s">
        <v>70</v>
      </c>
      <c r="Y49" s="264" t="s">
        <v>192</v>
      </c>
      <c r="Z49" s="261" t="s">
        <v>186</v>
      </c>
      <c r="AA49" s="256"/>
      <c r="AB49" s="317"/>
      <c r="AC49" s="80" t="s">
        <v>234</v>
      </c>
      <c r="AD49" s="169" t="s">
        <v>161</v>
      </c>
      <c r="AE49" s="171">
        <v>0</v>
      </c>
      <c r="AF49" s="170">
        <f>50000000-40000000</f>
        <v>10000000</v>
      </c>
      <c r="AG49" s="170">
        <v>0</v>
      </c>
      <c r="AH49" s="99">
        <f>+AG49/AF49</f>
        <v>0</v>
      </c>
      <c r="AI49" s="170">
        <v>0</v>
      </c>
      <c r="AJ49" s="100">
        <f>+AI49/AF49</f>
        <v>0</v>
      </c>
      <c r="AK49" s="101"/>
      <c r="AL49" s="94"/>
      <c r="AM49" s="169"/>
    </row>
    <row r="50" spans="2:39" ht="16.149999999999999" customHeight="1" x14ac:dyDescent="0.2">
      <c r="B50" s="332"/>
      <c r="C50" s="332"/>
      <c r="D50" s="256"/>
      <c r="E50" s="332"/>
      <c r="F50" s="337"/>
      <c r="G50" s="254"/>
      <c r="H50" s="256"/>
      <c r="I50" s="254"/>
      <c r="J50" s="254"/>
      <c r="K50" s="254"/>
      <c r="L50" s="254"/>
      <c r="M50" s="254"/>
      <c r="N50" s="252"/>
      <c r="O50" s="389"/>
      <c r="P50" s="249"/>
      <c r="Q50" s="262"/>
      <c r="R50" s="259"/>
      <c r="S50" s="259"/>
      <c r="T50" s="259"/>
      <c r="U50" s="268"/>
      <c r="V50" s="259"/>
      <c r="W50" s="259"/>
      <c r="X50" s="254"/>
      <c r="Y50" s="265"/>
      <c r="Z50" s="262"/>
      <c r="AA50" s="256"/>
      <c r="AB50" s="317"/>
      <c r="AC50" s="308" t="s">
        <v>165</v>
      </c>
      <c r="AD50" s="246" t="s">
        <v>157</v>
      </c>
      <c r="AE50" s="244">
        <v>58012500</v>
      </c>
      <c r="AF50" s="309">
        <v>58012500</v>
      </c>
      <c r="AG50" s="242">
        <f>(3570000+3570000+1525000+762500)*5</f>
        <v>47137500</v>
      </c>
      <c r="AH50" s="293">
        <f>+AG50/AF50</f>
        <v>0.81254040077569489</v>
      </c>
      <c r="AI50" s="242">
        <v>47137500</v>
      </c>
      <c r="AJ50" s="293">
        <f>+AI50/AF50</f>
        <v>0.81254040077569489</v>
      </c>
      <c r="AK50" s="101" t="s">
        <v>176</v>
      </c>
      <c r="AL50" s="94" t="s">
        <v>177</v>
      </c>
      <c r="AM50" s="246"/>
    </row>
    <row r="51" spans="2:39" ht="14.25" customHeight="1" x14ac:dyDescent="0.2">
      <c r="B51" s="332"/>
      <c r="C51" s="332"/>
      <c r="D51" s="256"/>
      <c r="E51" s="332"/>
      <c r="F51" s="337"/>
      <c r="G51" s="254"/>
      <c r="H51" s="256"/>
      <c r="I51" s="254"/>
      <c r="J51" s="254"/>
      <c r="K51" s="254"/>
      <c r="L51" s="254"/>
      <c r="M51" s="254"/>
      <c r="N51" s="252"/>
      <c r="O51" s="389"/>
      <c r="P51" s="249"/>
      <c r="Q51" s="263"/>
      <c r="R51" s="260"/>
      <c r="S51" s="260"/>
      <c r="T51" s="260"/>
      <c r="U51" s="269"/>
      <c r="V51" s="260"/>
      <c r="W51" s="260"/>
      <c r="X51" s="247"/>
      <c r="Y51" s="266"/>
      <c r="Z51" s="263"/>
      <c r="AA51" s="256"/>
      <c r="AB51" s="317"/>
      <c r="AC51" s="247"/>
      <c r="AD51" s="247"/>
      <c r="AE51" s="245"/>
      <c r="AF51" s="310"/>
      <c r="AG51" s="243"/>
      <c r="AH51" s="320"/>
      <c r="AI51" s="243"/>
      <c r="AJ51" s="320"/>
      <c r="AK51" s="101" t="s">
        <v>176</v>
      </c>
      <c r="AL51" s="94" t="s">
        <v>177</v>
      </c>
      <c r="AM51" s="247"/>
    </row>
    <row r="52" spans="2:39" ht="59.25" customHeight="1" x14ac:dyDescent="0.2">
      <c r="B52" s="332"/>
      <c r="C52" s="332"/>
      <c r="D52" s="256"/>
      <c r="E52" s="332"/>
      <c r="F52" s="337"/>
      <c r="G52" s="254"/>
      <c r="H52" s="256"/>
      <c r="I52" s="254"/>
      <c r="J52" s="254"/>
      <c r="K52" s="254"/>
      <c r="L52" s="254"/>
      <c r="M52" s="254"/>
      <c r="N52" s="252"/>
      <c r="O52" s="389"/>
      <c r="P52" s="249"/>
      <c r="Q52" s="193" t="s">
        <v>107</v>
      </c>
      <c r="R52" s="162">
        <v>0.33</v>
      </c>
      <c r="S52" s="162">
        <f>+S53+S54+S55</f>
        <v>0</v>
      </c>
      <c r="T52" s="162">
        <f>+T53+T54+T55</f>
        <v>0</v>
      </c>
      <c r="U52" s="205">
        <f>+U53+U54+U55</f>
        <v>1</v>
      </c>
      <c r="V52" s="162">
        <f>+V53+V54+V55</f>
        <v>0</v>
      </c>
      <c r="W52" s="162">
        <f t="shared" ref="W52:W76" si="4">SUM(S52:V52)</f>
        <v>1</v>
      </c>
      <c r="X52" s="53"/>
      <c r="Y52" s="212" t="s">
        <v>189</v>
      </c>
      <c r="Z52" s="77"/>
      <c r="AA52" s="256"/>
      <c r="AB52" s="317"/>
      <c r="AC52" s="53" t="s">
        <v>68</v>
      </c>
      <c r="AD52" s="53" t="s">
        <v>68</v>
      </c>
      <c r="AE52" s="53" t="s">
        <v>68</v>
      </c>
      <c r="AF52" s="107" t="s">
        <v>68</v>
      </c>
      <c r="AG52" s="107" t="s">
        <v>68</v>
      </c>
      <c r="AH52" s="107" t="s">
        <v>68</v>
      </c>
      <c r="AI52" s="107" t="s">
        <v>68</v>
      </c>
      <c r="AJ52" s="107" t="s">
        <v>68</v>
      </c>
      <c r="AK52" s="101" t="s">
        <v>176</v>
      </c>
      <c r="AL52" s="94" t="s">
        <v>177</v>
      </c>
      <c r="AM52" s="53"/>
    </row>
    <row r="53" spans="2:39" ht="30" x14ac:dyDescent="0.2">
      <c r="B53" s="332"/>
      <c r="C53" s="332"/>
      <c r="D53" s="256"/>
      <c r="E53" s="332"/>
      <c r="F53" s="337"/>
      <c r="G53" s="254"/>
      <c r="H53" s="256"/>
      <c r="I53" s="254"/>
      <c r="J53" s="254"/>
      <c r="K53" s="254"/>
      <c r="L53" s="254"/>
      <c r="M53" s="254"/>
      <c r="N53" s="252"/>
      <c r="O53" s="389"/>
      <c r="P53" s="249"/>
      <c r="Q53" s="76" t="s">
        <v>108</v>
      </c>
      <c r="R53" s="158">
        <v>0.25</v>
      </c>
      <c r="S53" s="158">
        <v>0</v>
      </c>
      <c r="T53" s="55">
        <v>0</v>
      </c>
      <c r="U53" s="202">
        <v>0.25</v>
      </c>
      <c r="V53" s="55"/>
      <c r="W53" s="158">
        <f t="shared" si="4"/>
        <v>0.25</v>
      </c>
      <c r="X53" s="85" t="s">
        <v>81</v>
      </c>
      <c r="Y53" s="210" t="s">
        <v>256</v>
      </c>
      <c r="Z53" s="76" t="s">
        <v>213</v>
      </c>
      <c r="AA53" s="256"/>
      <c r="AB53" s="317"/>
      <c r="AC53" s="126" t="s">
        <v>164</v>
      </c>
      <c r="AD53" s="54" t="s">
        <v>161</v>
      </c>
      <c r="AE53" s="66">
        <v>0</v>
      </c>
      <c r="AF53" s="87">
        <v>21000000</v>
      </c>
      <c r="AG53" s="87">
        <v>21000000</v>
      </c>
      <c r="AH53" s="99">
        <f>+AG53/AF53</f>
        <v>1</v>
      </c>
      <c r="AI53" s="87">
        <v>21000000</v>
      </c>
      <c r="AJ53" s="100">
        <f>+AI53/AF53</f>
        <v>1</v>
      </c>
      <c r="AK53" s="101" t="s">
        <v>176</v>
      </c>
      <c r="AL53" s="94" t="s">
        <v>177</v>
      </c>
      <c r="AM53" s="54"/>
    </row>
    <row r="54" spans="2:39" ht="30" x14ac:dyDescent="0.2">
      <c r="B54" s="332"/>
      <c r="C54" s="332"/>
      <c r="D54" s="256"/>
      <c r="E54" s="332"/>
      <c r="F54" s="337"/>
      <c r="G54" s="254"/>
      <c r="H54" s="256"/>
      <c r="I54" s="254"/>
      <c r="J54" s="254"/>
      <c r="K54" s="254"/>
      <c r="L54" s="254"/>
      <c r="M54" s="254"/>
      <c r="N54" s="252"/>
      <c r="O54" s="389"/>
      <c r="P54" s="249"/>
      <c r="Q54" s="76" t="s">
        <v>190</v>
      </c>
      <c r="R54" s="158">
        <v>0.15</v>
      </c>
      <c r="S54" s="158">
        <v>0</v>
      </c>
      <c r="T54" s="55">
        <v>0</v>
      </c>
      <c r="U54" s="202">
        <v>0.15</v>
      </c>
      <c r="V54" s="55"/>
      <c r="W54" s="158">
        <f t="shared" si="4"/>
        <v>0.15</v>
      </c>
      <c r="X54" s="85" t="s">
        <v>182</v>
      </c>
      <c r="Y54" s="223" t="s">
        <v>258</v>
      </c>
      <c r="Z54" s="76" t="s">
        <v>213</v>
      </c>
      <c r="AA54" s="256"/>
      <c r="AB54" s="317"/>
      <c r="AC54" s="54" t="s">
        <v>68</v>
      </c>
      <c r="AD54" s="85" t="s">
        <v>68</v>
      </c>
      <c r="AE54" s="85" t="s">
        <v>68</v>
      </c>
      <c r="AF54" s="105" t="s">
        <v>68</v>
      </c>
      <c r="AG54" s="105" t="s">
        <v>68</v>
      </c>
      <c r="AH54" s="105" t="s">
        <v>68</v>
      </c>
      <c r="AI54" s="105" t="s">
        <v>68</v>
      </c>
      <c r="AJ54" s="105" t="s">
        <v>68</v>
      </c>
      <c r="AK54" s="101" t="s">
        <v>176</v>
      </c>
      <c r="AL54" s="94" t="s">
        <v>177</v>
      </c>
      <c r="AM54" s="54"/>
    </row>
    <row r="55" spans="2:39" ht="30" x14ac:dyDescent="0.2">
      <c r="B55" s="332"/>
      <c r="C55" s="332"/>
      <c r="D55" s="256"/>
      <c r="E55" s="332"/>
      <c r="F55" s="337"/>
      <c r="G55" s="254"/>
      <c r="H55" s="256"/>
      <c r="I55" s="254"/>
      <c r="J55" s="254"/>
      <c r="K55" s="254"/>
      <c r="L55" s="254"/>
      <c r="M55" s="254"/>
      <c r="N55" s="252"/>
      <c r="O55" s="389"/>
      <c r="P55" s="249"/>
      <c r="Q55" s="76" t="s">
        <v>191</v>
      </c>
      <c r="R55" s="158">
        <v>0.6</v>
      </c>
      <c r="S55" s="158">
        <v>0</v>
      </c>
      <c r="T55" s="55">
        <v>0</v>
      </c>
      <c r="U55" s="202">
        <v>0.6</v>
      </c>
      <c r="V55" s="55"/>
      <c r="W55" s="158">
        <f t="shared" si="4"/>
        <v>0.6</v>
      </c>
      <c r="X55" s="85" t="s">
        <v>182</v>
      </c>
      <c r="Y55" s="223" t="s">
        <v>257</v>
      </c>
      <c r="Z55" s="76" t="s">
        <v>213</v>
      </c>
      <c r="AA55" s="256"/>
      <c r="AB55" s="317"/>
      <c r="AC55" s="126" t="s">
        <v>164</v>
      </c>
      <c r="AD55" s="54" t="s">
        <v>161</v>
      </c>
      <c r="AE55" s="66">
        <v>0</v>
      </c>
      <c r="AF55" s="87">
        <v>60542500</v>
      </c>
      <c r="AG55" s="87">
        <v>60542500</v>
      </c>
      <c r="AH55" s="99">
        <f>+AG55/AF55</f>
        <v>1</v>
      </c>
      <c r="AI55" s="87">
        <v>60542500</v>
      </c>
      <c r="AJ55" s="100">
        <f>+AI55/AF55</f>
        <v>1</v>
      </c>
      <c r="AK55" s="101" t="s">
        <v>176</v>
      </c>
      <c r="AL55" s="94" t="s">
        <v>177</v>
      </c>
      <c r="AM55" s="54"/>
    </row>
    <row r="56" spans="2:39" ht="55.5" customHeight="1" x14ac:dyDescent="0.2">
      <c r="B56" s="332"/>
      <c r="C56" s="332"/>
      <c r="D56" s="256"/>
      <c r="E56" s="332"/>
      <c r="F56" s="337"/>
      <c r="G56" s="254"/>
      <c r="H56" s="256"/>
      <c r="I56" s="254"/>
      <c r="J56" s="254"/>
      <c r="K56" s="254"/>
      <c r="L56" s="254"/>
      <c r="M56" s="254"/>
      <c r="N56" s="252"/>
      <c r="O56" s="389"/>
      <c r="P56" s="249"/>
      <c r="Q56" s="161" t="s">
        <v>110</v>
      </c>
      <c r="R56" s="162">
        <v>0.34</v>
      </c>
      <c r="S56" s="162">
        <f>+S57+S59+S60+S61</f>
        <v>0</v>
      </c>
      <c r="T56" s="162">
        <f>+T57+T59+T60+T61</f>
        <v>0.15</v>
      </c>
      <c r="U56" s="205">
        <f>+U57+U59+U60+U61</f>
        <v>0.42499999999999999</v>
      </c>
      <c r="V56" s="162">
        <f>+V58+V59+V60+V61</f>
        <v>0</v>
      </c>
      <c r="W56" s="162">
        <f t="shared" si="4"/>
        <v>0.57499999999999996</v>
      </c>
      <c r="X56" s="53"/>
      <c r="Y56" s="211"/>
      <c r="Z56" s="77"/>
      <c r="AA56" s="256"/>
      <c r="AB56" s="317"/>
      <c r="AC56" s="53" t="s">
        <v>68</v>
      </c>
      <c r="AD56" s="53" t="s">
        <v>68</v>
      </c>
      <c r="AE56" s="53" t="s">
        <v>68</v>
      </c>
      <c r="AF56" s="107" t="s">
        <v>68</v>
      </c>
      <c r="AG56" s="107" t="s">
        <v>68</v>
      </c>
      <c r="AH56" s="107" t="s">
        <v>68</v>
      </c>
      <c r="AI56" s="107" t="s">
        <v>68</v>
      </c>
      <c r="AJ56" s="107" t="s">
        <v>68</v>
      </c>
      <c r="AK56" s="101" t="s">
        <v>176</v>
      </c>
      <c r="AL56" s="94" t="s">
        <v>177</v>
      </c>
      <c r="AM56" s="53"/>
    </row>
    <row r="57" spans="2:39" ht="44.25" customHeight="1" x14ac:dyDescent="0.2">
      <c r="B57" s="332"/>
      <c r="C57" s="332"/>
      <c r="D57" s="256"/>
      <c r="E57" s="332"/>
      <c r="F57" s="337"/>
      <c r="G57" s="254"/>
      <c r="H57" s="256"/>
      <c r="I57" s="254"/>
      <c r="J57" s="254"/>
      <c r="K57" s="254"/>
      <c r="L57" s="254"/>
      <c r="M57" s="254"/>
      <c r="N57" s="252"/>
      <c r="O57" s="389"/>
      <c r="P57" s="249"/>
      <c r="Q57" s="246" t="s">
        <v>111</v>
      </c>
      <c r="R57" s="258">
        <v>0.35</v>
      </c>
      <c r="S57" s="258">
        <v>0</v>
      </c>
      <c r="T57" s="258">
        <v>0</v>
      </c>
      <c r="U57" s="267">
        <v>0.125</v>
      </c>
      <c r="V57" s="438"/>
      <c r="W57" s="258">
        <f>SUM(S58:V58)</f>
        <v>0</v>
      </c>
      <c r="X57" s="246" t="s">
        <v>112</v>
      </c>
      <c r="Y57" s="436" t="s">
        <v>259</v>
      </c>
      <c r="Z57" s="434" t="s">
        <v>213</v>
      </c>
      <c r="AA57" s="256"/>
      <c r="AB57" s="317"/>
      <c r="AC57" s="80" t="s">
        <v>246</v>
      </c>
      <c r="AD57" s="221" t="s">
        <v>247</v>
      </c>
      <c r="AE57" s="221">
        <v>0</v>
      </c>
      <c r="AF57" s="87">
        <v>122806038.28</v>
      </c>
      <c r="AG57" s="105">
        <v>0</v>
      </c>
      <c r="AH57" s="99">
        <f t="shared" ref="AH57:AH68" si="5">+AG57/AF57</f>
        <v>0</v>
      </c>
      <c r="AI57" s="105">
        <v>0</v>
      </c>
      <c r="AJ57" s="100">
        <f t="shared" ref="AJ57:AJ68" si="6">+AI57/AF57</f>
        <v>0</v>
      </c>
      <c r="AK57" s="101" t="s">
        <v>176</v>
      </c>
      <c r="AL57" s="94" t="s">
        <v>177</v>
      </c>
      <c r="AM57" s="221"/>
    </row>
    <row r="58" spans="2:39" ht="40.5" hidden="1" customHeight="1" x14ac:dyDescent="0.2">
      <c r="B58" s="332"/>
      <c r="C58" s="332"/>
      <c r="D58" s="256"/>
      <c r="E58" s="332"/>
      <c r="F58" s="337"/>
      <c r="G58" s="254"/>
      <c r="H58" s="256"/>
      <c r="I58" s="254"/>
      <c r="J58" s="254"/>
      <c r="K58" s="254"/>
      <c r="L58" s="254"/>
      <c r="M58" s="254"/>
      <c r="N58" s="252"/>
      <c r="O58" s="389"/>
      <c r="P58" s="249"/>
      <c r="Q58" s="247"/>
      <c r="R58" s="260"/>
      <c r="S58" s="260"/>
      <c r="T58" s="260"/>
      <c r="U58" s="269"/>
      <c r="V58" s="439"/>
      <c r="W58" s="260"/>
      <c r="X58" s="247"/>
      <c r="Y58" s="437"/>
      <c r="Z58" s="435"/>
      <c r="AA58" s="256"/>
      <c r="AB58" s="317"/>
      <c r="AC58" s="80" t="s">
        <v>178</v>
      </c>
      <c r="AD58" s="230" t="s">
        <v>179</v>
      </c>
      <c r="AE58" s="144">
        <v>39000000</v>
      </c>
      <c r="AF58" s="87">
        <v>39000000</v>
      </c>
      <c r="AG58" s="87">
        <v>0</v>
      </c>
      <c r="AH58" s="99">
        <f t="shared" si="5"/>
        <v>0</v>
      </c>
      <c r="AI58" s="87">
        <v>0</v>
      </c>
      <c r="AJ58" s="100">
        <f t="shared" si="6"/>
        <v>0</v>
      </c>
      <c r="AK58" s="101" t="s">
        <v>176</v>
      </c>
      <c r="AL58" s="94" t="s">
        <v>177</v>
      </c>
      <c r="AM58" s="54"/>
    </row>
    <row r="59" spans="2:39" ht="38.25" x14ac:dyDescent="0.2">
      <c r="B59" s="332"/>
      <c r="C59" s="332"/>
      <c r="D59" s="256"/>
      <c r="E59" s="332"/>
      <c r="F59" s="337"/>
      <c r="G59" s="254"/>
      <c r="H59" s="256"/>
      <c r="I59" s="254"/>
      <c r="J59" s="254"/>
      <c r="K59" s="254"/>
      <c r="L59" s="254"/>
      <c r="M59" s="254"/>
      <c r="N59" s="252"/>
      <c r="O59" s="389"/>
      <c r="P59" s="249"/>
      <c r="Q59" s="76" t="s">
        <v>185</v>
      </c>
      <c r="R59" s="158">
        <v>0.3</v>
      </c>
      <c r="S59" s="158">
        <v>0</v>
      </c>
      <c r="T59" s="158">
        <v>0</v>
      </c>
      <c r="U59" s="203">
        <v>0.3</v>
      </c>
      <c r="V59" s="158"/>
      <c r="W59" s="158">
        <f t="shared" si="4"/>
        <v>0.3</v>
      </c>
      <c r="X59" s="85" t="s">
        <v>70</v>
      </c>
      <c r="Y59" s="210" t="s">
        <v>260</v>
      </c>
      <c r="Z59" s="76" t="s">
        <v>213</v>
      </c>
      <c r="AA59" s="256"/>
      <c r="AB59" s="317"/>
      <c r="AC59" s="126" t="s">
        <v>164</v>
      </c>
      <c r="AD59" s="54" t="s">
        <v>161</v>
      </c>
      <c r="AE59" s="66">
        <v>0</v>
      </c>
      <c r="AF59" s="87">
        <f>15250000*2</f>
        <v>30500000</v>
      </c>
      <c r="AG59" s="87">
        <v>30500000</v>
      </c>
      <c r="AH59" s="99">
        <f t="shared" si="5"/>
        <v>1</v>
      </c>
      <c r="AI59" s="87">
        <v>30500000</v>
      </c>
      <c r="AJ59" s="100">
        <f t="shared" si="6"/>
        <v>1</v>
      </c>
      <c r="AK59" s="101" t="s">
        <v>176</v>
      </c>
      <c r="AL59" s="94" t="s">
        <v>177</v>
      </c>
      <c r="AM59" s="54"/>
    </row>
    <row r="60" spans="2:39" ht="30" x14ac:dyDescent="0.2">
      <c r="B60" s="332"/>
      <c r="C60" s="332"/>
      <c r="D60" s="256"/>
      <c r="E60" s="332"/>
      <c r="F60" s="337"/>
      <c r="G60" s="254"/>
      <c r="H60" s="256"/>
      <c r="I60" s="254"/>
      <c r="J60" s="254"/>
      <c r="K60" s="254"/>
      <c r="L60" s="254"/>
      <c r="M60" s="254"/>
      <c r="N60" s="252"/>
      <c r="O60" s="389"/>
      <c r="P60" s="249"/>
      <c r="Q60" s="76" t="s">
        <v>194</v>
      </c>
      <c r="R60" s="158">
        <v>0.2</v>
      </c>
      <c r="S60" s="158">
        <v>0</v>
      </c>
      <c r="T60" s="158">
        <v>0</v>
      </c>
      <c r="U60" s="203">
        <v>0</v>
      </c>
      <c r="V60" s="158"/>
      <c r="W60" s="158">
        <f t="shared" si="4"/>
        <v>0</v>
      </c>
      <c r="X60" s="85" t="s">
        <v>70</v>
      </c>
      <c r="Y60" s="210"/>
      <c r="Z60" s="76"/>
      <c r="AA60" s="256"/>
      <c r="AB60" s="317"/>
      <c r="AC60" s="126" t="s">
        <v>164</v>
      </c>
      <c r="AD60" s="54" t="s">
        <v>161</v>
      </c>
      <c r="AE60" s="66">
        <v>0</v>
      </c>
      <c r="AF60" s="87">
        <v>8000000</v>
      </c>
      <c r="AG60" s="87">
        <v>8000000</v>
      </c>
      <c r="AH60" s="99">
        <f t="shared" si="5"/>
        <v>1</v>
      </c>
      <c r="AI60" s="87">
        <v>8000000</v>
      </c>
      <c r="AJ60" s="100">
        <f t="shared" si="6"/>
        <v>1</v>
      </c>
      <c r="AK60" s="101" t="s">
        <v>176</v>
      </c>
      <c r="AL60" s="94" t="s">
        <v>177</v>
      </c>
      <c r="AM60" s="54"/>
    </row>
    <row r="61" spans="2:39" ht="153" x14ac:dyDescent="0.2">
      <c r="B61" s="332"/>
      <c r="C61" s="331"/>
      <c r="D61" s="257"/>
      <c r="E61" s="331"/>
      <c r="F61" s="338"/>
      <c r="G61" s="247"/>
      <c r="H61" s="257"/>
      <c r="I61" s="247"/>
      <c r="J61" s="247"/>
      <c r="K61" s="247"/>
      <c r="L61" s="247"/>
      <c r="M61" s="247"/>
      <c r="N61" s="253"/>
      <c r="O61" s="390"/>
      <c r="P61" s="250"/>
      <c r="Q61" s="76" t="s">
        <v>195</v>
      </c>
      <c r="R61" s="158">
        <v>0.15</v>
      </c>
      <c r="S61" s="158">
        <v>0</v>
      </c>
      <c r="T61" s="158">
        <v>0.15</v>
      </c>
      <c r="U61" s="203">
        <v>0</v>
      </c>
      <c r="V61" s="158"/>
      <c r="W61" s="158">
        <f t="shared" si="4"/>
        <v>0.15</v>
      </c>
      <c r="X61" s="85" t="s">
        <v>70</v>
      </c>
      <c r="Y61" s="210" t="s">
        <v>211</v>
      </c>
      <c r="Z61" s="76" t="s">
        <v>213</v>
      </c>
      <c r="AA61" s="257"/>
      <c r="AB61" s="318"/>
      <c r="AC61" s="126" t="s">
        <v>164</v>
      </c>
      <c r="AD61" s="54" t="s">
        <v>161</v>
      </c>
      <c r="AE61" s="66">
        <v>0</v>
      </c>
      <c r="AF61" s="87">
        <v>6000000</v>
      </c>
      <c r="AG61" s="87">
        <v>6000000</v>
      </c>
      <c r="AH61" s="99">
        <f t="shared" si="5"/>
        <v>1</v>
      </c>
      <c r="AI61" s="87">
        <v>6000000</v>
      </c>
      <c r="AJ61" s="100">
        <f t="shared" si="6"/>
        <v>1</v>
      </c>
      <c r="AK61" s="101" t="s">
        <v>176</v>
      </c>
      <c r="AL61" s="94" t="s">
        <v>177</v>
      </c>
      <c r="AM61" s="54"/>
    </row>
    <row r="62" spans="2:39" ht="63.75" x14ac:dyDescent="0.2">
      <c r="B62" s="332"/>
      <c r="C62" s="53" t="s">
        <v>49</v>
      </c>
      <c r="D62" s="255">
        <v>0.3</v>
      </c>
      <c r="E62" s="53" t="s">
        <v>239</v>
      </c>
      <c r="F62" s="336">
        <v>1</v>
      </c>
      <c r="G62" s="54" t="s">
        <v>50</v>
      </c>
      <c r="H62" s="55">
        <v>0.1</v>
      </c>
      <c r="I62" s="54" t="s">
        <v>65</v>
      </c>
      <c r="J62" s="54">
        <v>4</v>
      </c>
      <c r="K62" s="54">
        <v>3</v>
      </c>
      <c r="L62" s="54" t="s">
        <v>67</v>
      </c>
      <c r="M62" s="54">
        <v>1</v>
      </c>
      <c r="N62" s="198">
        <f>SUMPRODUCT(R62*W62)</f>
        <v>1</v>
      </c>
      <c r="O62" s="160">
        <f>SUMPRODUCT(R62*U62)</f>
        <v>1</v>
      </c>
      <c r="P62" s="160">
        <f>SUMPRODUCT(R62*W62)</f>
        <v>1</v>
      </c>
      <c r="Q62" s="76" t="s">
        <v>113</v>
      </c>
      <c r="R62" s="158">
        <v>1</v>
      </c>
      <c r="S62" s="158">
        <v>0</v>
      </c>
      <c r="T62" s="158">
        <v>0</v>
      </c>
      <c r="U62" s="203">
        <v>1</v>
      </c>
      <c r="V62" s="158"/>
      <c r="W62" s="158">
        <f t="shared" si="4"/>
        <v>1</v>
      </c>
      <c r="X62" s="85" t="s">
        <v>183</v>
      </c>
      <c r="Y62" s="210" t="s">
        <v>262</v>
      </c>
      <c r="Z62" s="76" t="s">
        <v>261</v>
      </c>
      <c r="AA62" s="290" t="s">
        <v>151</v>
      </c>
      <c r="AB62" s="351" t="s">
        <v>200</v>
      </c>
      <c r="AC62" s="127" t="s">
        <v>166</v>
      </c>
      <c r="AD62" s="80" t="s">
        <v>159</v>
      </c>
      <c r="AE62" s="66">
        <v>45000000</v>
      </c>
      <c r="AF62" s="87">
        <v>45000000</v>
      </c>
      <c r="AG62" s="87">
        <v>45000000</v>
      </c>
      <c r="AH62" s="99">
        <f t="shared" si="5"/>
        <v>1</v>
      </c>
      <c r="AI62" s="87">
        <v>45000000</v>
      </c>
      <c r="AJ62" s="180">
        <f t="shared" si="6"/>
        <v>1</v>
      </c>
      <c r="AK62" s="101" t="s">
        <v>176</v>
      </c>
      <c r="AL62" s="94" t="s">
        <v>177</v>
      </c>
      <c r="AM62" s="54"/>
    </row>
    <row r="63" spans="2:39" ht="30" x14ac:dyDescent="0.2">
      <c r="B63" s="332"/>
      <c r="C63" s="330" t="s">
        <v>49</v>
      </c>
      <c r="D63" s="256"/>
      <c r="E63" s="330" t="s">
        <v>239</v>
      </c>
      <c r="F63" s="337"/>
      <c r="G63" s="246" t="s">
        <v>51</v>
      </c>
      <c r="H63" s="255">
        <v>0.1</v>
      </c>
      <c r="I63" s="246" t="s">
        <v>65</v>
      </c>
      <c r="J63" s="246">
        <v>4</v>
      </c>
      <c r="K63" s="246">
        <v>3</v>
      </c>
      <c r="L63" s="246" t="s">
        <v>67</v>
      </c>
      <c r="M63" s="246">
        <v>1</v>
      </c>
      <c r="N63" s="251">
        <f>SUMPRODUCT(R63*W63)</f>
        <v>0</v>
      </c>
      <c r="O63" s="248">
        <f>SUMPRODUCT(R63*U63)</f>
        <v>0</v>
      </c>
      <c r="P63" s="248">
        <f>SUMPRODUCT(R63*W63)</f>
        <v>0</v>
      </c>
      <c r="Q63" s="261" t="s">
        <v>114</v>
      </c>
      <c r="R63" s="258">
        <v>1</v>
      </c>
      <c r="S63" s="258">
        <v>0</v>
      </c>
      <c r="T63" s="258">
        <v>0</v>
      </c>
      <c r="U63" s="267">
        <v>0</v>
      </c>
      <c r="V63" s="258"/>
      <c r="W63" s="258">
        <f>SUM(S65:V65)</f>
        <v>0</v>
      </c>
      <c r="X63" s="246" t="s">
        <v>115</v>
      </c>
      <c r="Y63" s="264"/>
      <c r="Z63" s="261"/>
      <c r="AA63" s="290"/>
      <c r="AB63" s="351"/>
      <c r="AC63" s="224" t="s">
        <v>169</v>
      </c>
      <c r="AD63" s="80" t="s">
        <v>157</v>
      </c>
      <c r="AE63" s="66"/>
      <c r="AF63" s="87">
        <v>70000000</v>
      </c>
      <c r="AG63" s="87">
        <v>0</v>
      </c>
      <c r="AH63" s="99">
        <f t="shared" si="5"/>
        <v>0</v>
      </c>
      <c r="AI63" s="87">
        <v>0</v>
      </c>
      <c r="AJ63" s="180">
        <f t="shared" si="6"/>
        <v>0</v>
      </c>
      <c r="AK63" s="101" t="s">
        <v>176</v>
      </c>
      <c r="AL63" s="94" t="s">
        <v>177</v>
      </c>
      <c r="AM63" s="213"/>
    </row>
    <row r="64" spans="2:39" ht="30" x14ac:dyDescent="0.2">
      <c r="B64" s="332"/>
      <c r="C64" s="332"/>
      <c r="D64" s="256"/>
      <c r="E64" s="332"/>
      <c r="F64" s="337"/>
      <c r="G64" s="254"/>
      <c r="H64" s="256"/>
      <c r="I64" s="254"/>
      <c r="J64" s="254"/>
      <c r="K64" s="254"/>
      <c r="L64" s="254"/>
      <c r="M64" s="254"/>
      <c r="N64" s="252"/>
      <c r="O64" s="249"/>
      <c r="P64" s="249"/>
      <c r="Q64" s="262"/>
      <c r="R64" s="259"/>
      <c r="S64" s="259"/>
      <c r="T64" s="259"/>
      <c r="U64" s="268"/>
      <c r="V64" s="259"/>
      <c r="W64" s="259"/>
      <c r="X64" s="254"/>
      <c r="Y64" s="265"/>
      <c r="Z64" s="262"/>
      <c r="AA64" s="290"/>
      <c r="AB64" s="351"/>
      <c r="AC64" s="224" t="s">
        <v>244</v>
      </c>
      <c r="AD64" s="80" t="s">
        <v>245</v>
      </c>
      <c r="AE64" s="66">
        <v>0</v>
      </c>
      <c r="AF64" s="87">
        <v>487567.93</v>
      </c>
      <c r="AG64" s="87">
        <v>0</v>
      </c>
      <c r="AH64" s="99">
        <f t="shared" si="5"/>
        <v>0</v>
      </c>
      <c r="AI64" s="87">
        <v>0</v>
      </c>
      <c r="AJ64" s="180">
        <f t="shared" si="6"/>
        <v>0</v>
      </c>
      <c r="AK64" s="101" t="s">
        <v>176</v>
      </c>
      <c r="AL64" s="94" t="s">
        <v>177</v>
      </c>
      <c r="AM64" s="221"/>
    </row>
    <row r="65" spans="2:39" ht="30" x14ac:dyDescent="0.2">
      <c r="B65" s="332"/>
      <c r="C65" s="331"/>
      <c r="D65" s="256"/>
      <c r="E65" s="331"/>
      <c r="F65" s="332"/>
      <c r="G65" s="247"/>
      <c r="H65" s="257"/>
      <c r="I65" s="247"/>
      <c r="J65" s="247"/>
      <c r="K65" s="247"/>
      <c r="L65" s="247"/>
      <c r="M65" s="247"/>
      <c r="N65" s="253"/>
      <c r="O65" s="250"/>
      <c r="P65" s="250"/>
      <c r="Q65" s="263"/>
      <c r="R65" s="260"/>
      <c r="S65" s="260"/>
      <c r="T65" s="260"/>
      <c r="U65" s="269"/>
      <c r="V65" s="260"/>
      <c r="W65" s="260"/>
      <c r="X65" s="247"/>
      <c r="Y65" s="266"/>
      <c r="Z65" s="263"/>
      <c r="AA65" s="290"/>
      <c r="AB65" s="351"/>
      <c r="AC65" s="80" t="s">
        <v>167</v>
      </c>
      <c r="AD65" s="54" t="s">
        <v>168</v>
      </c>
      <c r="AE65" s="66">
        <f>278252000</f>
        <v>278252000</v>
      </c>
      <c r="AF65" s="87">
        <f>278252000+9497617</f>
        <v>287749617</v>
      </c>
      <c r="AG65" s="87">
        <v>0</v>
      </c>
      <c r="AH65" s="99">
        <f t="shared" si="5"/>
        <v>0</v>
      </c>
      <c r="AI65" s="87">
        <v>0</v>
      </c>
      <c r="AJ65" s="180">
        <f t="shared" si="6"/>
        <v>0</v>
      </c>
      <c r="AK65" s="101" t="s">
        <v>176</v>
      </c>
      <c r="AL65" s="94" t="s">
        <v>177</v>
      </c>
      <c r="AM65" s="54"/>
    </row>
    <row r="66" spans="2:39" ht="51" x14ac:dyDescent="0.2">
      <c r="B66" s="332"/>
      <c r="C66" s="53" t="s">
        <v>49</v>
      </c>
      <c r="D66" s="256"/>
      <c r="E66" s="53" t="s">
        <v>239</v>
      </c>
      <c r="F66" s="332"/>
      <c r="G66" s="54" t="s">
        <v>52</v>
      </c>
      <c r="H66" s="55">
        <v>0.1</v>
      </c>
      <c r="I66" s="54" t="s">
        <v>65</v>
      </c>
      <c r="J66" s="54">
        <v>2</v>
      </c>
      <c r="K66" s="54">
        <v>4</v>
      </c>
      <c r="L66" s="54" t="s">
        <v>67</v>
      </c>
      <c r="M66" s="54">
        <v>1</v>
      </c>
      <c r="N66" s="198">
        <f>SUMPRODUCT(R66*W66)</f>
        <v>0</v>
      </c>
      <c r="O66" s="160">
        <f>SUMPRODUCT(R66*T66)</f>
        <v>0</v>
      </c>
      <c r="P66" s="160">
        <f>SUMPRODUCT(R66*W66)</f>
        <v>0</v>
      </c>
      <c r="Q66" s="76" t="s">
        <v>116</v>
      </c>
      <c r="R66" s="158">
        <v>1</v>
      </c>
      <c r="S66" s="158">
        <v>0</v>
      </c>
      <c r="T66" s="158">
        <v>0</v>
      </c>
      <c r="U66" s="203">
        <v>0</v>
      </c>
      <c r="V66" s="158"/>
      <c r="W66" s="158">
        <f t="shared" si="4"/>
        <v>0</v>
      </c>
      <c r="X66" s="85" t="s">
        <v>81</v>
      </c>
      <c r="Y66" s="210"/>
      <c r="Z66" s="76"/>
      <c r="AA66" s="290"/>
      <c r="AB66" s="351"/>
      <c r="AC66" s="127" t="s">
        <v>166</v>
      </c>
      <c r="AD66" s="80" t="s">
        <v>159</v>
      </c>
      <c r="AE66" s="66">
        <v>49000000</v>
      </c>
      <c r="AF66" s="87">
        <f>49000000-8000000-4000000</f>
        <v>37000000</v>
      </c>
      <c r="AG66" s="87">
        <v>37000000</v>
      </c>
      <c r="AH66" s="99">
        <f t="shared" si="5"/>
        <v>1</v>
      </c>
      <c r="AI66" s="87">
        <v>37000000</v>
      </c>
      <c r="AJ66" s="180">
        <f t="shared" si="6"/>
        <v>1</v>
      </c>
      <c r="AK66" s="101" t="s">
        <v>176</v>
      </c>
      <c r="AL66" s="94" t="s">
        <v>177</v>
      </c>
      <c r="AM66" s="54"/>
    </row>
    <row r="67" spans="2:39" ht="51" x14ac:dyDescent="0.2">
      <c r="B67" s="332"/>
      <c r="C67" s="53" t="s">
        <v>49</v>
      </c>
      <c r="D67" s="256"/>
      <c r="E67" s="53" t="s">
        <v>239</v>
      </c>
      <c r="F67" s="332"/>
      <c r="G67" s="54" t="s">
        <v>53</v>
      </c>
      <c r="H67" s="55">
        <v>0.05</v>
      </c>
      <c r="I67" s="54" t="s">
        <v>65</v>
      </c>
      <c r="J67" s="54">
        <v>0</v>
      </c>
      <c r="K67" s="54">
        <v>2</v>
      </c>
      <c r="L67" s="54" t="s">
        <v>67</v>
      </c>
      <c r="M67" s="54">
        <v>1</v>
      </c>
      <c r="N67" s="198">
        <f>SUMPRODUCT(R67*W67)</f>
        <v>0</v>
      </c>
      <c r="O67" s="160">
        <f>SUMPRODUCT(R67*T67)</f>
        <v>0</v>
      </c>
      <c r="P67" s="160">
        <f>SUMPRODUCT(R67*W67)</f>
        <v>0</v>
      </c>
      <c r="Q67" s="76" t="s">
        <v>117</v>
      </c>
      <c r="R67" s="158">
        <v>1</v>
      </c>
      <c r="S67" s="158">
        <v>0</v>
      </c>
      <c r="T67" s="158">
        <v>0</v>
      </c>
      <c r="U67" s="203">
        <v>0</v>
      </c>
      <c r="V67" s="158"/>
      <c r="W67" s="158">
        <f t="shared" si="4"/>
        <v>0</v>
      </c>
      <c r="X67" s="85" t="s">
        <v>109</v>
      </c>
      <c r="Y67" s="210"/>
      <c r="Z67" s="76"/>
      <c r="AA67" s="290"/>
      <c r="AB67" s="351"/>
      <c r="AC67" s="127" t="s">
        <v>166</v>
      </c>
      <c r="AD67" s="80" t="s">
        <v>159</v>
      </c>
      <c r="AE67" s="66">
        <v>20000000</v>
      </c>
      <c r="AF67" s="87">
        <v>20000000</v>
      </c>
      <c r="AG67" s="87">
        <v>20000000</v>
      </c>
      <c r="AH67" s="99">
        <f t="shared" si="5"/>
        <v>1</v>
      </c>
      <c r="AI67" s="87">
        <v>20000000</v>
      </c>
      <c r="AJ67" s="180">
        <f t="shared" si="6"/>
        <v>1</v>
      </c>
      <c r="AK67" s="101" t="s">
        <v>176</v>
      </c>
      <c r="AL67" s="94" t="s">
        <v>177</v>
      </c>
      <c r="AM67" s="54"/>
    </row>
    <row r="68" spans="2:39" ht="51" x14ac:dyDescent="0.2">
      <c r="B68" s="332"/>
      <c r="C68" s="53" t="s">
        <v>49</v>
      </c>
      <c r="D68" s="256"/>
      <c r="E68" s="53" t="s">
        <v>239</v>
      </c>
      <c r="F68" s="332"/>
      <c r="G68" s="191" t="s">
        <v>54</v>
      </c>
      <c r="H68" s="55">
        <v>0.05</v>
      </c>
      <c r="I68" s="54" t="s">
        <v>65</v>
      </c>
      <c r="J68" s="54">
        <v>0</v>
      </c>
      <c r="K68" s="54">
        <v>4</v>
      </c>
      <c r="L68" s="54" t="s">
        <v>67</v>
      </c>
      <c r="M68" s="54">
        <v>1</v>
      </c>
      <c r="N68" s="198">
        <f>SUMPRODUCT(R68*W68)</f>
        <v>0</v>
      </c>
      <c r="O68" s="160">
        <f>SUMPRODUCT(R68*T68)</f>
        <v>0</v>
      </c>
      <c r="P68" s="160">
        <f>SUMPRODUCT(R68*W68)</f>
        <v>0</v>
      </c>
      <c r="Q68" s="76" t="s">
        <v>119</v>
      </c>
      <c r="R68" s="158">
        <v>1</v>
      </c>
      <c r="S68" s="158">
        <v>0</v>
      </c>
      <c r="T68" s="158">
        <v>0</v>
      </c>
      <c r="U68" s="203">
        <v>0</v>
      </c>
      <c r="V68" s="158"/>
      <c r="W68" s="158">
        <f t="shared" si="4"/>
        <v>0</v>
      </c>
      <c r="X68" s="85" t="s">
        <v>70</v>
      </c>
      <c r="Y68" s="210"/>
      <c r="Z68" s="76"/>
      <c r="AA68" s="290"/>
      <c r="AB68" s="351"/>
      <c r="AC68" s="128" t="s">
        <v>170</v>
      </c>
      <c r="AD68" s="54" t="s">
        <v>161</v>
      </c>
      <c r="AE68" s="66">
        <v>0</v>
      </c>
      <c r="AF68" s="87">
        <v>5000000</v>
      </c>
      <c r="AG68" s="87">
        <v>5000000</v>
      </c>
      <c r="AH68" s="99">
        <f t="shared" si="5"/>
        <v>1</v>
      </c>
      <c r="AI68" s="87">
        <v>5000000</v>
      </c>
      <c r="AJ68" s="180">
        <f t="shared" si="6"/>
        <v>1</v>
      </c>
      <c r="AK68" s="101" t="s">
        <v>176</v>
      </c>
      <c r="AL68" s="94" t="s">
        <v>177</v>
      </c>
      <c r="AM68" s="54"/>
    </row>
    <row r="69" spans="2:39" ht="36" customHeight="1" x14ac:dyDescent="0.2">
      <c r="B69" s="332"/>
      <c r="C69" s="330" t="s">
        <v>49</v>
      </c>
      <c r="D69" s="256"/>
      <c r="E69" s="330" t="s">
        <v>239</v>
      </c>
      <c r="F69" s="332"/>
      <c r="G69" s="246" t="s">
        <v>55</v>
      </c>
      <c r="H69" s="255">
        <v>0.2</v>
      </c>
      <c r="I69" s="246" t="s">
        <v>65</v>
      </c>
      <c r="J69" s="246">
        <v>1</v>
      </c>
      <c r="K69" s="246">
        <v>1</v>
      </c>
      <c r="L69" s="246" t="s">
        <v>66</v>
      </c>
      <c r="M69" s="246">
        <v>1</v>
      </c>
      <c r="N69" s="251">
        <f>+SUMPRODUCT(R69*W69+R77*W77+R87*W87)</f>
        <v>0.47100000000000003</v>
      </c>
      <c r="O69" s="387">
        <f>SUMPRODUCT(R69*U69)+(R77*U77)+(R87*U87)</f>
        <v>0.23500000000000001</v>
      </c>
      <c r="P69" s="387">
        <f>+SUMPRODUCT(R69*W69)+(R77*W77)+(R87*W87)</f>
        <v>0.47100000000000003</v>
      </c>
      <c r="Q69" s="164" t="s">
        <v>120</v>
      </c>
      <c r="R69" s="165">
        <v>0.3</v>
      </c>
      <c r="S69" s="165">
        <f>+SUMPRODUCT(R70:R76*S70:S76)</f>
        <v>0</v>
      </c>
      <c r="T69" s="165">
        <f>+SUM(T70:T76)</f>
        <v>0.53666666666666674</v>
      </c>
      <c r="U69" s="206">
        <f>+SUM(U70:U76)</f>
        <v>0.15000000000000002</v>
      </c>
      <c r="V69" s="165">
        <f>+SUMPRODUCT(R70:R76*V70:V76)</f>
        <v>0</v>
      </c>
      <c r="W69" s="165">
        <f>SUM(S69:V69)</f>
        <v>0.68666666666666676</v>
      </c>
      <c r="X69" s="53"/>
      <c r="Y69" s="211"/>
      <c r="Z69" s="77"/>
      <c r="AA69" s="290"/>
      <c r="AB69" s="351"/>
      <c r="AC69" s="53" t="s">
        <v>68</v>
      </c>
      <c r="AD69" s="53" t="s">
        <v>68</v>
      </c>
      <c r="AE69" s="53" t="s">
        <v>68</v>
      </c>
      <c r="AF69" s="107" t="s">
        <v>68</v>
      </c>
      <c r="AG69" s="107" t="s">
        <v>68</v>
      </c>
      <c r="AH69" s="107" t="s">
        <v>68</v>
      </c>
      <c r="AI69" s="107" t="s">
        <v>68</v>
      </c>
      <c r="AJ69" s="181" t="s">
        <v>68</v>
      </c>
      <c r="AK69" s="101" t="s">
        <v>176</v>
      </c>
      <c r="AL69" s="94" t="s">
        <v>177</v>
      </c>
      <c r="AM69" s="53"/>
    </row>
    <row r="70" spans="2:39" ht="90" customHeight="1" x14ac:dyDescent="0.2">
      <c r="B70" s="332"/>
      <c r="C70" s="332"/>
      <c r="D70" s="256"/>
      <c r="E70" s="332"/>
      <c r="F70" s="332"/>
      <c r="G70" s="254"/>
      <c r="H70" s="256"/>
      <c r="I70" s="254"/>
      <c r="J70" s="254"/>
      <c r="K70" s="254"/>
      <c r="L70" s="254"/>
      <c r="M70" s="254"/>
      <c r="N70" s="252"/>
      <c r="O70" s="387"/>
      <c r="P70" s="387"/>
      <c r="Q70" s="76" t="s">
        <v>121</v>
      </c>
      <c r="R70" s="158">
        <v>0.1</v>
      </c>
      <c r="S70" s="158">
        <v>0</v>
      </c>
      <c r="T70" s="158">
        <v>0.05</v>
      </c>
      <c r="U70" s="203">
        <v>0.03</v>
      </c>
      <c r="V70" s="158"/>
      <c r="W70" s="158">
        <f t="shared" si="4"/>
        <v>0.08</v>
      </c>
      <c r="X70" s="85" t="s">
        <v>70</v>
      </c>
      <c r="Y70" s="210" t="s">
        <v>212</v>
      </c>
      <c r="Z70" s="76" t="s">
        <v>213</v>
      </c>
      <c r="AA70" s="290"/>
      <c r="AB70" s="351"/>
      <c r="AC70" s="411" t="s">
        <v>169</v>
      </c>
      <c r="AD70" s="412" t="s">
        <v>157</v>
      </c>
      <c r="AE70" s="296">
        <v>211680000</v>
      </c>
      <c r="AF70" s="242">
        <v>211680000</v>
      </c>
      <c r="AG70" s="242">
        <f>+(3570000*4)*2+3570000+1800000+60000000+110100000</f>
        <v>204030000</v>
      </c>
      <c r="AH70" s="293">
        <f>+AG70/AF70</f>
        <v>0.96386054421768708</v>
      </c>
      <c r="AI70" s="242">
        <v>204030000</v>
      </c>
      <c r="AJ70" s="417">
        <f>+AI70/AF70</f>
        <v>0.96386054421768708</v>
      </c>
      <c r="AK70" s="101" t="s">
        <v>176</v>
      </c>
      <c r="AL70" s="94" t="s">
        <v>177</v>
      </c>
      <c r="AM70" s="54"/>
    </row>
    <row r="71" spans="2:39" ht="64.5" customHeight="1" x14ac:dyDescent="0.2">
      <c r="B71" s="332"/>
      <c r="C71" s="332"/>
      <c r="D71" s="256"/>
      <c r="E71" s="332"/>
      <c r="F71" s="332"/>
      <c r="G71" s="254"/>
      <c r="H71" s="256"/>
      <c r="I71" s="254"/>
      <c r="J71" s="254"/>
      <c r="K71" s="254"/>
      <c r="L71" s="254"/>
      <c r="M71" s="254"/>
      <c r="N71" s="252"/>
      <c r="O71" s="387"/>
      <c r="P71" s="387"/>
      <c r="Q71" s="76" t="s">
        <v>122</v>
      </c>
      <c r="R71" s="158">
        <v>0.1</v>
      </c>
      <c r="S71" s="158">
        <v>0</v>
      </c>
      <c r="T71" s="158">
        <v>0.05</v>
      </c>
      <c r="U71" s="203">
        <v>0.02</v>
      </c>
      <c r="V71" s="158"/>
      <c r="W71" s="158">
        <f t="shared" si="4"/>
        <v>7.0000000000000007E-2</v>
      </c>
      <c r="X71" s="85" t="s">
        <v>70</v>
      </c>
      <c r="Y71" s="210" t="s">
        <v>214</v>
      </c>
      <c r="Z71" s="76" t="s">
        <v>213</v>
      </c>
      <c r="AA71" s="290"/>
      <c r="AB71" s="351"/>
      <c r="AC71" s="411"/>
      <c r="AD71" s="413"/>
      <c r="AE71" s="297"/>
      <c r="AF71" s="307"/>
      <c r="AG71" s="307"/>
      <c r="AH71" s="294"/>
      <c r="AI71" s="307"/>
      <c r="AJ71" s="418"/>
      <c r="AK71" s="101" t="s">
        <v>176</v>
      </c>
      <c r="AL71" s="94" t="s">
        <v>177</v>
      </c>
      <c r="AM71" s="54"/>
    </row>
    <row r="72" spans="2:39" ht="93" customHeight="1" x14ac:dyDescent="0.2">
      <c r="B72" s="332"/>
      <c r="C72" s="332"/>
      <c r="D72" s="256"/>
      <c r="E72" s="332"/>
      <c r="F72" s="332"/>
      <c r="G72" s="254"/>
      <c r="H72" s="256"/>
      <c r="I72" s="254"/>
      <c r="J72" s="254"/>
      <c r="K72" s="254"/>
      <c r="L72" s="254"/>
      <c r="M72" s="254"/>
      <c r="N72" s="252"/>
      <c r="O72" s="387"/>
      <c r="P72" s="387"/>
      <c r="Q72" s="76" t="s">
        <v>123</v>
      </c>
      <c r="R72" s="158">
        <v>0.15</v>
      </c>
      <c r="S72" s="158">
        <v>0</v>
      </c>
      <c r="T72" s="158">
        <v>7.0000000000000007E-2</v>
      </c>
      <c r="U72" s="203">
        <v>0.02</v>
      </c>
      <c r="V72" s="158"/>
      <c r="W72" s="158">
        <f t="shared" si="4"/>
        <v>9.0000000000000011E-2</v>
      </c>
      <c r="X72" s="85" t="s">
        <v>70</v>
      </c>
      <c r="Y72" s="210" t="s">
        <v>215</v>
      </c>
      <c r="Z72" s="76" t="s">
        <v>213</v>
      </c>
      <c r="AA72" s="290"/>
      <c r="AB72" s="351"/>
      <c r="AC72" s="411"/>
      <c r="AD72" s="414"/>
      <c r="AE72" s="297"/>
      <c r="AF72" s="243"/>
      <c r="AG72" s="243"/>
      <c r="AH72" s="294"/>
      <c r="AI72" s="243"/>
      <c r="AJ72" s="418"/>
      <c r="AK72" s="101" t="s">
        <v>176</v>
      </c>
      <c r="AL72" s="94" t="s">
        <v>177</v>
      </c>
      <c r="AM72" s="54"/>
    </row>
    <row r="73" spans="2:39" ht="44.25" customHeight="1" x14ac:dyDescent="0.2">
      <c r="B73" s="332"/>
      <c r="C73" s="332"/>
      <c r="D73" s="256"/>
      <c r="E73" s="332"/>
      <c r="F73" s="332"/>
      <c r="G73" s="254"/>
      <c r="H73" s="256"/>
      <c r="I73" s="254"/>
      <c r="J73" s="254"/>
      <c r="K73" s="254"/>
      <c r="L73" s="254"/>
      <c r="M73" s="254"/>
      <c r="N73" s="252"/>
      <c r="O73" s="387"/>
      <c r="P73" s="387"/>
      <c r="Q73" s="76" t="s">
        <v>124</v>
      </c>
      <c r="R73" s="158">
        <v>0.05</v>
      </c>
      <c r="S73" s="158">
        <v>0</v>
      </c>
      <c r="T73" s="158">
        <v>0</v>
      </c>
      <c r="U73" s="203">
        <v>0</v>
      </c>
      <c r="V73" s="158"/>
      <c r="W73" s="158">
        <f t="shared" si="4"/>
        <v>0</v>
      </c>
      <c r="X73" s="85" t="s">
        <v>70</v>
      </c>
      <c r="Y73" s="210"/>
      <c r="Z73" s="76"/>
      <c r="AA73" s="290"/>
      <c r="AB73" s="351"/>
      <c r="AC73" s="137" t="s">
        <v>170</v>
      </c>
      <c r="AD73" s="78" t="s">
        <v>161</v>
      </c>
      <c r="AE73" s="123">
        <v>0</v>
      </c>
      <c r="AF73" s="88">
        <v>1785000</v>
      </c>
      <c r="AG73" s="113">
        <v>1785000</v>
      </c>
      <c r="AH73" s="99">
        <f>+AG73/AF73</f>
        <v>1</v>
      </c>
      <c r="AI73" s="88">
        <v>1785000</v>
      </c>
      <c r="AJ73" s="180">
        <f>+AI73/AF73</f>
        <v>1</v>
      </c>
      <c r="AK73" s="101" t="s">
        <v>176</v>
      </c>
      <c r="AL73" s="94" t="s">
        <v>177</v>
      </c>
      <c r="AM73" s="54"/>
    </row>
    <row r="74" spans="2:39" ht="38.25" x14ac:dyDescent="0.2">
      <c r="B74" s="332"/>
      <c r="C74" s="332"/>
      <c r="D74" s="256"/>
      <c r="E74" s="332"/>
      <c r="F74" s="332"/>
      <c r="G74" s="254"/>
      <c r="H74" s="256"/>
      <c r="I74" s="254"/>
      <c r="J74" s="254"/>
      <c r="K74" s="254"/>
      <c r="L74" s="254"/>
      <c r="M74" s="254"/>
      <c r="N74" s="252"/>
      <c r="O74" s="387"/>
      <c r="P74" s="387"/>
      <c r="Q74" s="76" t="s">
        <v>125</v>
      </c>
      <c r="R74" s="158">
        <v>0.2</v>
      </c>
      <c r="S74" s="158">
        <v>0</v>
      </c>
      <c r="T74" s="158">
        <v>0.1</v>
      </c>
      <c r="U74" s="203">
        <v>0.08</v>
      </c>
      <c r="V74" s="158"/>
      <c r="W74" s="158">
        <f t="shared" si="4"/>
        <v>0.18</v>
      </c>
      <c r="X74" s="85" t="s">
        <v>70</v>
      </c>
      <c r="Y74" s="210" t="s">
        <v>263</v>
      </c>
      <c r="Z74" s="76" t="s">
        <v>213</v>
      </c>
      <c r="AA74" s="290"/>
      <c r="AB74" s="351"/>
      <c r="AC74" s="128" t="s">
        <v>170</v>
      </c>
      <c r="AD74" s="82" t="s">
        <v>161</v>
      </c>
      <c r="AE74" s="66">
        <v>0</v>
      </c>
      <c r="AF74" s="87">
        <v>11196000</v>
      </c>
      <c r="AG74" s="87">
        <v>11196000</v>
      </c>
      <c r="AH74" s="99">
        <f>+AG74/AF74</f>
        <v>1</v>
      </c>
      <c r="AI74" s="87">
        <v>11196000</v>
      </c>
      <c r="AJ74" s="180">
        <f>+AI74/AF74</f>
        <v>1</v>
      </c>
      <c r="AK74" s="101" t="s">
        <v>176</v>
      </c>
      <c r="AL74" s="94" t="s">
        <v>177</v>
      </c>
      <c r="AM74" s="54"/>
    </row>
    <row r="75" spans="2:39" ht="64.5" customHeight="1" x14ac:dyDescent="0.2">
      <c r="B75" s="332"/>
      <c r="C75" s="332"/>
      <c r="D75" s="256"/>
      <c r="E75" s="332"/>
      <c r="F75" s="332"/>
      <c r="G75" s="254"/>
      <c r="H75" s="256"/>
      <c r="I75" s="254"/>
      <c r="J75" s="254"/>
      <c r="K75" s="254"/>
      <c r="L75" s="254"/>
      <c r="M75" s="254"/>
      <c r="N75" s="252"/>
      <c r="O75" s="387"/>
      <c r="P75" s="387"/>
      <c r="Q75" s="76" t="s">
        <v>126</v>
      </c>
      <c r="R75" s="158">
        <v>0.2</v>
      </c>
      <c r="S75" s="158">
        <v>0</v>
      </c>
      <c r="T75" s="158">
        <v>0.2</v>
      </c>
      <c r="U75" s="203">
        <v>0</v>
      </c>
      <c r="V75" s="158">
        <v>0</v>
      </c>
      <c r="W75" s="158">
        <f t="shared" si="4"/>
        <v>0.2</v>
      </c>
      <c r="X75" s="85" t="s">
        <v>70</v>
      </c>
      <c r="Y75" s="210" t="s">
        <v>216</v>
      </c>
      <c r="Z75" s="76" t="s">
        <v>213</v>
      </c>
      <c r="AA75" s="290"/>
      <c r="AB75" s="351"/>
      <c r="AC75" s="137" t="s">
        <v>170</v>
      </c>
      <c r="AD75" s="122" t="s">
        <v>161</v>
      </c>
      <c r="AE75" s="93">
        <v>0</v>
      </c>
      <c r="AF75" s="87">
        <v>15804000</v>
      </c>
      <c r="AG75" s="87">
        <v>15804000</v>
      </c>
      <c r="AH75" s="99">
        <f>+AG75/AF75</f>
        <v>1</v>
      </c>
      <c r="AI75" s="87">
        <v>15804000</v>
      </c>
      <c r="AJ75" s="180">
        <f>+AI75/AF75</f>
        <v>1</v>
      </c>
      <c r="AK75" s="101" t="s">
        <v>176</v>
      </c>
      <c r="AL75" s="94" t="s">
        <v>177</v>
      </c>
      <c r="AM75" s="54"/>
    </row>
    <row r="76" spans="2:39" ht="64.5" customHeight="1" x14ac:dyDescent="0.2">
      <c r="B76" s="332"/>
      <c r="C76" s="332"/>
      <c r="D76" s="256"/>
      <c r="E76" s="332"/>
      <c r="F76" s="332"/>
      <c r="G76" s="254"/>
      <c r="H76" s="256"/>
      <c r="I76" s="254"/>
      <c r="J76" s="254"/>
      <c r="K76" s="254"/>
      <c r="L76" s="254"/>
      <c r="M76" s="254"/>
      <c r="N76" s="252"/>
      <c r="O76" s="387"/>
      <c r="P76" s="387"/>
      <c r="Q76" s="76" t="s">
        <v>127</v>
      </c>
      <c r="R76" s="158">
        <v>0.2</v>
      </c>
      <c r="S76" s="158">
        <v>0</v>
      </c>
      <c r="T76" s="158">
        <v>6.6666666666666666E-2</v>
      </c>
      <c r="U76" s="203">
        <v>0</v>
      </c>
      <c r="V76" s="158"/>
      <c r="W76" s="158">
        <f t="shared" si="4"/>
        <v>6.6666666666666666E-2</v>
      </c>
      <c r="X76" s="85" t="s">
        <v>70</v>
      </c>
      <c r="Y76" s="210" t="s">
        <v>217</v>
      </c>
      <c r="Z76" s="76" t="s">
        <v>213</v>
      </c>
      <c r="AA76" s="290"/>
      <c r="AB76" s="351"/>
      <c r="AC76" s="137" t="s">
        <v>170</v>
      </c>
      <c r="AD76" s="78" t="s">
        <v>161</v>
      </c>
      <c r="AE76" s="93">
        <v>0</v>
      </c>
      <c r="AF76" s="87">
        <v>25000000</v>
      </c>
      <c r="AG76" s="87">
        <v>25000000</v>
      </c>
      <c r="AH76" s="225">
        <f>+AG76/AF76</f>
        <v>1</v>
      </c>
      <c r="AI76" s="87">
        <v>25000000</v>
      </c>
      <c r="AJ76" s="226">
        <f>+AI76/AF76</f>
        <v>1</v>
      </c>
      <c r="AK76" s="101" t="s">
        <v>176</v>
      </c>
      <c r="AL76" s="94" t="s">
        <v>177</v>
      </c>
      <c r="AM76" s="54"/>
    </row>
    <row r="77" spans="2:39" ht="33.75" customHeight="1" x14ac:dyDescent="0.2">
      <c r="B77" s="332"/>
      <c r="C77" s="332"/>
      <c r="D77" s="256"/>
      <c r="E77" s="332"/>
      <c r="F77" s="332"/>
      <c r="G77" s="254"/>
      <c r="H77" s="256"/>
      <c r="I77" s="254"/>
      <c r="J77" s="254"/>
      <c r="K77" s="254"/>
      <c r="L77" s="254"/>
      <c r="M77" s="254"/>
      <c r="N77" s="252"/>
      <c r="O77" s="387"/>
      <c r="P77" s="387"/>
      <c r="Q77" s="161" t="s">
        <v>128</v>
      </c>
      <c r="R77" s="163">
        <v>0.5</v>
      </c>
      <c r="S77" s="166">
        <f>SUMPRODUCT($R$78*S78+$R$82*S82+$R$83*S83+$R$85*S85+$R$86*S86)</f>
        <v>0</v>
      </c>
      <c r="T77" s="166">
        <f>+SUM(T78:T86)</f>
        <v>0.15</v>
      </c>
      <c r="U77" s="207">
        <f>+SUM(U78:U86)</f>
        <v>0.38</v>
      </c>
      <c r="V77" s="166">
        <f>SUMPRODUCT($R$78*V78+$R$82*V82+$R$83*V83+$R$85*V85+$R$86*V86)</f>
        <v>0</v>
      </c>
      <c r="W77" s="166">
        <f>+SUM(S77:V77)</f>
        <v>0.53</v>
      </c>
      <c r="X77" s="53"/>
      <c r="Y77" s="211"/>
      <c r="Z77" s="77"/>
      <c r="AA77" s="290"/>
      <c r="AB77" s="351"/>
      <c r="AC77" s="53" t="s">
        <v>68</v>
      </c>
      <c r="AD77" s="84" t="s">
        <v>68</v>
      </c>
      <c r="AE77" s="84" t="s">
        <v>68</v>
      </c>
      <c r="AF77" s="108" t="s">
        <v>68</v>
      </c>
      <c r="AG77" s="108" t="s">
        <v>68</v>
      </c>
      <c r="AH77" s="108" t="s">
        <v>68</v>
      </c>
      <c r="AI77" s="108" t="s">
        <v>68</v>
      </c>
      <c r="AJ77" s="182" t="s">
        <v>68</v>
      </c>
      <c r="AK77" s="101" t="s">
        <v>176</v>
      </c>
      <c r="AL77" s="94" t="s">
        <v>177</v>
      </c>
      <c r="AM77" s="53"/>
    </row>
    <row r="78" spans="2:39" ht="30" x14ac:dyDescent="0.2">
      <c r="B78" s="332"/>
      <c r="C78" s="332"/>
      <c r="D78" s="256"/>
      <c r="E78" s="332"/>
      <c r="F78" s="332"/>
      <c r="G78" s="254"/>
      <c r="H78" s="256"/>
      <c r="I78" s="254"/>
      <c r="J78" s="254"/>
      <c r="K78" s="254"/>
      <c r="L78" s="254"/>
      <c r="M78" s="254"/>
      <c r="N78" s="252"/>
      <c r="O78" s="387"/>
      <c r="P78" s="387"/>
      <c r="Q78" s="287" t="s">
        <v>129</v>
      </c>
      <c r="R78" s="290">
        <v>0.25</v>
      </c>
      <c r="S78" s="274">
        <v>0</v>
      </c>
      <c r="T78" s="274">
        <v>0</v>
      </c>
      <c r="U78" s="273">
        <v>0.08</v>
      </c>
      <c r="V78" s="274"/>
      <c r="W78" s="274">
        <f>+SUMPRODUCT(S78:V81)</f>
        <v>0.08</v>
      </c>
      <c r="X78" s="270" t="s">
        <v>70</v>
      </c>
      <c r="Y78" s="429" t="s">
        <v>264</v>
      </c>
      <c r="Z78" s="287" t="s">
        <v>213</v>
      </c>
      <c r="AA78" s="290"/>
      <c r="AB78" s="351"/>
      <c r="AC78" s="137" t="s">
        <v>170</v>
      </c>
      <c r="AD78" s="122" t="s">
        <v>161</v>
      </c>
      <c r="AE78" s="123">
        <v>0</v>
      </c>
      <c r="AF78" s="124">
        <v>471329700</v>
      </c>
      <c r="AG78" s="124">
        <v>471329700</v>
      </c>
      <c r="AH78" s="99">
        <f t="shared" ref="AH78:AH87" si="7">+AG78/AF78</f>
        <v>1</v>
      </c>
      <c r="AI78" s="124">
        <v>471329700</v>
      </c>
      <c r="AJ78" s="180">
        <f t="shared" ref="AJ78:AJ87" si="8">+AI78/AF78</f>
        <v>1</v>
      </c>
      <c r="AK78" s="101" t="s">
        <v>176</v>
      </c>
      <c r="AL78" s="94" t="s">
        <v>177</v>
      </c>
      <c r="AM78" s="246"/>
    </row>
    <row r="79" spans="2:39" ht="25.5" x14ac:dyDescent="0.2">
      <c r="B79" s="332"/>
      <c r="C79" s="332"/>
      <c r="D79" s="256"/>
      <c r="E79" s="332"/>
      <c r="F79" s="332"/>
      <c r="G79" s="254"/>
      <c r="H79" s="256"/>
      <c r="I79" s="254"/>
      <c r="J79" s="254"/>
      <c r="K79" s="254"/>
      <c r="L79" s="254"/>
      <c r="M79" s="254"/>
      <c r="N79" s="252"/>
      <c r="O79" s="387"/>
      <c r="P79" s="387"/>
      <c r="Q79" s="287"/>
      <c r="R79" s="290"/>
      <c r="S79" s="274"/>
      <c r="T79" s="274"/>
      <c r="U79" s="273"/>
      <c r="V79" s="274"/>
      <c r="W79" s="274"/>
      <c r="X79" s="270"/>
      <c r="Y79" s="429"/>
      <c r="Z79" s="287"/>
      <c r="AA79" s="290"/>
      <c r="AB79" s="351"/>
      <c r="AC79" s="218" t="s">
        <v>169</v>
      </c>
      <c r="AD79" s="122" t="s">
        <v>157</v>
      </c>
      <c r="AE79" s="123">
        <v>0</v>
      </c>
      <c r="AF79" s="124">
        <v>370000000</v>
      </c>
      <c r="AG79" s="124">
        <v>0</v>
      </c>
      <c r="AH79" s="99">
        <f t="shared" si="7"/>
        <v>0</v>
      </c>
      <c r="AI79" s="124"/>
      <c r="AJ79" s="180">
        <f t="shared" si="8"/>
        <v>0</v>
      </c>
      <c r="AK79" s="101"/>
      <c r="AL79" s="94"/>
      <c r="AM79" s="254"/>
    </row>
    <row r="80" spans="2:39" ht="25.5" x14ac:dyDescent="0.2">
      <c r="B80" s="332"/>
      <c r="C80" s="332"/>
      <c r="D80" s="256"/>
      <c r="E80" s="332"/>
      <c r="F80" s="332"/>
      <c r="G80" s="254"/>
      <c r="H80" s="256"/>
      <c r="I80" s="254"/>
      <c r="J80" s="254"/>
      <c r="K80" s="254"/>
      <c r="L80" s="254"/>
      <c r="M80" s="254"/>
      <c r="N80" s="252"/>
      <c r="O80" s="387"/>
      <c r="P80" s="387"/>
      <c r="Q80" s="287"/>
      <c r="R80" s="290"/>
      <c r="S80" s="274"/>
      <c r="T80" s="274"/>
      <c r="U80" s="273"/>
      <c r="V80" s="274"/>
      <c r="W80" s="274"/>
      <c r="X80" s="270"/>
      <c r="Y80" s="429"/>
      <c r="Z80" s="287"/>
      <c r="AA80" s="290"/>
      <c r="AB80" s="351"/>
      <c r="AC80" s="137" t="s">
        <v>228</v>
      </c>
      <c r="AD80" s="122" t="s">
        <v>229</v>
      </c>
      <c r="AE80" s="123"/>
      <c r="AF80" s="124">
        <v>5245749.4800000004</v>
      </c>
      <c r="AG80" s="124">
        <v>5245749.4800000004</v>
      </c>
      <c r="AH80" s="99">
        <f t="shared" si="7"/>
        <v>1</v>
      </c>
      <c r="AI80" s="124">
        <v>5245749.4800000004</v>
      </c>
      <c r="AJ80" s="180">
        <f t="shared" si="8"/>
        <v>1</v>
      </c>
      <c r="AK80" s="101"/>
      <c r="AL80" s="94"/>
      <c r="AM80" s="254"/>
    </row>
    <row r="81" spans="2:39" ht="30" x14ac:dyDescent="0.2">
      <c r="B81" s="332"/>
      <c r="C81" s="332"/>
      <c r="D81" s="256"/>
      <c r="E81" s="332"/>
      <c r="F81" s="332"/>
      <c r="G81" s="254"/>
      <c r="H81" s="256"/>
      <c r="I81" s="254"/>
      <c r="J81" s="254"/>
      <c r="K81" s="254"/>
      <c r="L81" s="254"/>
      <c r="M81" s="254"/>
      <c r="N81" s="252"/>
      <c r="O81" s="387"/>
      <c r="P81" s="387"/>
      <c r="Q81" s="287"/>
      <c r="R81" s="290"/>
      <c r="S81" s="274"/>
      <c r="T81" s="274"/>
      <c r="U81" s="273"/>
      <c r="V81" s="274"/>
      <c r="W81" s="274"/>
      <c r="X81" s="270"/>
      <c r="Y81" s="429"/>
      <c r="Z81" s="287"/>
      <c r="AA81" s="290"/>
      <c r="AB81" s="351"/>
      <c r="AC81" s="138" t="s">
        <v>166</v>
      </c>
      <c r="AD81" s="139" t="s">
        <v>159</v>
      </c>
      <c r="AE81" s="123">
        <v>20000000</v>
      </c>
      <c r="AF81" s="124">
        <v>24000000</v>
      </c>
      <c r="AG81" s="124">
        <v>24000000</v>
      </c>
      <c r="AH81" s="99">
        <f t="shared" si="7"/>
        <v>1</v>
      </c>
      <c r="AI81" s="124">
        <v>24000000</v>
      </c>
      <c r="AJ81" s="180">
        <f t="shared" si="8"/>
        <v>1</v>
      </c>
      <c r="AK81" s="101" t="s">
        <v>176</v>
      </c>
      <c r="AL81" s="94" t="s">
        <v>177</v>
      </c>
      <c r="AM81" s="247"/>
    </row>
    <row r="82" spans="2:39" ht="30" x14ac:dyDescent="0.2">
      <c r="B82" s="332"/>
      <c r="C82" s="332"/>
      <c r="D82" s="256"/>
      <c r="E82" s="332"/>
      <c r="F82" s="332"/>
      <c r="G82" s="254"/>
      <c r="H82" s="256"/>
      <c r="I82" s="254"/>
      <c r="J82" s="254"/>
      <c r="K82" s="254"/>
      <c r="L82" s="254"/>
      <c r="M82" s="254"/>
      <c r="N82" s="252"/>
      <c r="O82" s="387"/>
      <c r="P82" s="387"/>
      <c r="Q82" s="190" t="s">
        <v>130</v>
      </c>
      <c r="R82" s="55">
        <v>0.1</v>
      </c>
      <c r="S82" s="159">
        <v>0</v>
      </c>
      <c r="T82" s="159">
        <v>0</v>
      </c>
      <c r="U82" s="208">
        <v>0</v>
      </c>
      <c r="V82" s="159"/>
      <c r="W82" s="55">
        <f>+SUMPRODUCT(S82:V82)</f>
        <v>0</v>
      </c>
      <c r="X82" s="85" t="s">
        <v>70</v>
      </c>
      <c r="Y82" s="210"/>
      <c r="Z82" s="76"/>
      <c r="AA82" s="290"/>
      <c r="AB82" s="351"/>
      <c r="AC82" s="127" t="s">
        <v>166</v>
      </c>
      <c r="AD82" s="80" t="s">
        <v>159</v>
      </c>
      <c r="AE82" s="66">
        <v>6000000</v>
      </c>
      <c r="AF82" s="87">
        <v>6000000</v>
      </c>
      <c r="AG82" s="87">
        <v>6000000</v>
      </c>
      <c r="AH82" s="99">
        <f t="shared" si="7"/>
        <v>1</v>
      </c>
      <c r="AI82" s="87">
        <v>6000000</v>
      </c>
      <c r="AJ82" s="180">
        <f t="shared" si="8"/>
        <v>1</v>
      </c>
      <c r="AK82" s="101" t="s">
        <v>176</v>
      </c>
      <c r="AL82" s="94" t="s">
        <v>177</v>
      </c>
      <c r="AM82" s="54"/>
    </row>
    <row r="83" spans="2:39" ht="56.25" customHeight="1" x14ac:dyDescent="0.2">
      <c r="B83" s="332"/>
      <c r="C83" s="332"/>
      <c r="D83" s="256"/>
      <c r="E83" s="332"/>
      <c r="F83" s="332"/>
      <c r="G83" s="254"/>
      <c r="H83" s="256"/>
      <c r="I83" s="254"/>
      <c r="J83" s="254"/>
      <c r="K83" s="254"/>
      <c r="L83" s="254"/>
      <c r="M83" s="254"/>
      <c r="N83" s="252"/>
      <c r="O83" s="387"/>
      <c r="P83" s="387"/>
      <c r="Q83" s="287" t="s">
        <v>131</v>
      </c>
      <c r="R83" s="290">
        <v>0.4</v>
      </c>
      <c r="S83" s="274">
        <v>0</v>
      </c>
      <c r="T83" s="326">
        <v>0.15</v>
      </c>
      <c r="U83" s="327">
        <v>0.15</v>
      </c>
      <c r="V83" s="326"/>
      <c r="W83" s="326">
        <f>+SUMPRODUCT(S83:V84)</f>
        <v>0.3</v>
      </c>
      <c r="X83" s="270" t="s">
        <v>184</v>
      </c>
      <c r="Y83" s="426" t="s">
        <v>218</v>
      </c>
      <c r="Z83" s="287" t="s">
        <v>213</v>
      </c>
      <c r="AA83" s="290"/>
      <c r="AB83" s="351"/>
      <c r="AC83" s="132" t="s">
        <v>169</v>
      </c>
      <c r="AD83" s="80" t="s">
        <v>157</v>
      </c>
      <c r="AE83" s="66">
        <v>177867875</v>
      </c>
      <c r="AF83" s="87">
        <v>177867875</v>
      </c>
      <c r="AG83" s="87">
        <f>35295000+65100000+15000000</f>
        <v>115395000</v>
      </c>
      <c r="AH83" s="99">
        <f t="shared" si="7"/>
        <v>0.64876808136376507</v>
      </c>
      <c r="AI83" s="87">
        <v>115395000</v>
      </c>
      <c r="AJ83" s="180">
        <f t="shared" si="8"/>
        <v>0.64876808136376507</v>
      </c>
      <c r="AK83" s="101" t="s">
        <v>176</v>
      </c>
      <c r="AL83" s="94" t="s">
        <v>177</v>
      </c>
      <c r="AM83" s="75"/>
    </row>
    <row r="84" spans="2:39" ht="35.25" customHeight="1" x14ac:dyDescent="0.2">
      <c r="B84" s="332"/>
      <c r="C84" s="332"/>
      <c r="D84" s="256"/>
      <c r="E84" s="332"/>
      <c r="F84" s="332"/>
      <c r="G84" s="254"/>
      <c r="H84" s="256"/>
      <c r="I84" s="254"/>
      <c r="J84" s="254"/>
      <c r="K84" s="254"/>
      <c r="L84" s="254"/>
      <c r="M84" s="254"/>
      <c r="N84" s="252"/>
      <c r="O84" s="387"/>
      <c r="P84" s="387"/>
      <c r="Q84" s="287"/>
      <c r="R84" s="290"/>
      <c r="S84" s="274"/>
      <c r="T84" s="326"/>
      <c r="U84" s="327"/>
      <c r="V84" s="326"/>
      <c r="W84" s="326"/>
      <c r="X84" s="270" t="s">
        <v>70</v>
      </c>
      <c r="Y84" s="426"/>
      <c r="Z84" s="287"/>
      <c r="AA84" s="290"/>
      <c r="AB84" s="351"/>
      <c r="AC84" s="128" t="s">
        <v>170</v>
      </c>
      <c r="AD84" s="54" t="s">
        <v>161</v>
      </c>
      <c r="AE84" s="66">
        <v>0</v>
      </c>
      <c r="AF84" s="87">
        <v>40000000</v>
      </c>
      <c r="AG84" s="87">
        <v>40000000</v>
      </c>
      <c r="AH84" s="99">
        <f t="shared" si="7"/>
        <v>1</v>
      </c>
      <c r="AI84" s="87">
        <v>40000000</v>
      </c>
      <c r="AJ84" s="180">
        <f t="shared" si="8"/>
        <v>1</v>
      </c>
      <c r="AK84" s="101" t="s">
        <v>176</v>
      </c>
      <c r="AL84" s="94" t="s">
        <v>177</v>
      </c>
      <c r="AM84" s="54"/>
    </row>
    <row r="85" spans="2:39" ht="30" x14ac:dyDescent="0.2">
      <c r="B85" s="332"/>
      <c r="C85" s="332"/>
      <c r="D85" s="256"/>
      <c r="E85" s="332"/>
      <c r="F85" s="332"/>
      <c r="G85" s="254"/>
      <c r="H85" s="256"/>
      <c r="I85" s="254"/>
      <c r="J85" s="254"/>
      <c r="K85" s="254"/>
      <c r="L85" s="254"/>
      <c r="M85" s="254"/>
      <c r="N85" s="252"/>
      <c r="O85" s="387"/>
      <c r="P85" s="387"/>
      <c r="Q85" s="76" t="s">
        <v>132</v>
      </c>
      <c r="R85" s="55">
        <v>0.1</v>
      </c>
      <c r="S85" s="159">
        <v>0</v>
      </c>
      <c r="T85" s="159">
        <v>0</v>
      </c>
      <c r="U85" s="208">
        <v>0</v>
      </c>
      <c r="V85" s="159"/>
      <c r="W85" s="187">
        <f>+SUMPRODUCT(S85:V85)</f>
        <v>0</v>
      </c>
      <c r="X85" s="85" t="s">
        <v>182</v>
      </c>
      <c r="Y85" s="210"/>
      <c r="Z85" s="76"/>
      <c r="AA85" s="290"/>
      <c r="AB85" s="351"/>
      <c r="AC85" s="127" t="s">
        <v>166</v>
      </c>
      <c r="AD85" s="80" t="s">
        <v>159</v>
      </c>
      <c r="AE85" s="66">
        <v>31175908</v>
      </c>
      <c r="AF85" s="87">
        <v>31175908</v>
      </c>
      <c r="AG85" s="87">
        <v>31175908</v>
      </c>
      <c r="AH85" s="99">
        <f t="shared" si="7"/>
        <v>1</v>
      </c>
      <c r="AI85" s="87">
        <v>31175908</v>
      </c>
      <c r="AJ85" s="180">
        <f t="shared" si="8"/>
        <v>1</v>
      </c>
      <c r="AK85" s="101" t="s">
        <v>176</v>
      </c>
      <c r="AL85" s="94" t="s">
        <v>177</v>
      </c>
      <c r="AM85" s="54"/>
    </row>
    <row r="86" spans="2:39" ht="38.25" x14ac:dyDescent="0.2">
      <c r="B86" s="332"/>
      <c r="C86" s="332"/>
      <c r="D86" s="256"/>
      <c r="E86" s="332"/>
      <c r="F86" s="332"/>
      <c r="G86" s="254"/>
      <c r="H86" s="256"/>
      <c r="I86" s="254"/>
      <c r="J86" s="254"/>
      <c r="K86" s="254"/>
      <c r="L86" s="254"/>
      <c r="M86" s="254"/>
      <c r="N86" s="252"/>
      <c r="O86" s="387"/>
      <c r="P86" s="387"/>
      <c r="Q86" s="76" t="s">
        <v>133</v>
      </c>
      <c r="R86" s="55">
        <v>0.15</v>
      </c>
      <c r="S86" s="159">
        <v>0</v>
      </c>
      <c r="T86" s="159">
        <v>0</v>
      </c>
      <c r="U86" s="208">
        <v>0.15</v>
      </c>
      <c r="V86" s="159"/>
      <c r="W86" s="159">
        <f>+SUMPRODUCT(S86:V86)</f>
        <v>0.15</v>
      </c>
      <c r="X86" s="85" t="s">
        <v>109</v>
      </c>
      <c r="Y86" s="210" t="s">
        <v>265</v>
      </c>
      <c r="Z86" s="76" t="s">
        <v>213</v>
      </c>
      <c r="AA86" s="290"/>
      <c r="AB86" s="351"/>
      <c r="AC86" s="127" t="s">
        <v>166</v>
      </c>
      <c r="AD86" s="80" t="s">
        <v>159</v>
      </c>
      <c r="AE86" s="66">
        <v>25000000</v>
      </c>
      <c r="AF86" s="87">
        <v>33000000</v>
      </c>
      <c r="AG86" s="87">
        <v>33000000</v>
      </c>
      <c r="AH86" s="99">
        <f t="shared" si="7"/>
        <v>1</v>
      </c>
      <c r="AI86" s="87">
        <v>33000000</v>
      </c>
      <c r="AJ86" s="180">
        <f t="shared" si="8"/>
        <v>1</v>
      </c>
      <c r="AK86" s="101" t="s">
        <v>176</v>
      </c>
      <c r="AL86" s="94" t="s">
        <v>177</v>
      </c>
      <c r="AM86" s="54"/>
    </row>
    <row r="87" spans="2:39" ht="31.5" customHeight="1" x14ac:dyDescent="0.2">
      <c r="B87" s="332"/>
      <c r="C87" s="332"/>
      <c r="D87" s="256"/>
      <c r="E87" s="332"/>
      <c r="F87" s="332"/>
      <c r="G87" s="254"/>
      <c r="H87" s="256"/>
      <c r="I87" s="254"/>
      <c r="J87" s="254"/>
      <c r="K87" s="254"/>
      <c r="L87" s="254"/>
      <c r="M87" s="254"/>
      <c r="N87" s="252"/>
      <c r="O87" s="387"/>
      <c r="P87" s="387"/>
      <c r="Q87" s="288" t="s">
        <v>134</v>
      </c>
      <c r="R87" s="283">
        <v>0.2</v>
      </c>
      <c r="S87" s="284">
        <v>0</v>
      </c>
      <c r="T87" s="284">
        <v>0</v>
      </c>
      <c r="U87" s="289">
        <v>0</v>
      </c>
      <c r="V87" s="284">
        <v>0</v>
      </c>
      <c r="W87" s="284">
        <f>+SUMPRODUCT(R87*S87:V88)</f>
        <v>0</v>
      </c>
      <c r="X87" s="270" t="s">
        <v>184</v>
      </c>
      <c r="Y87" s="426"/>
      <c r="Z87" s="287"/>
      <c r="AA87" s="290"/>
      <c r="AB87" s="351"/>
      <c r="AC87" s="321" t="s">
        <v>170</v>
      </c>
      <c r="AD87" s="246" t="s">
        <v>161</v>
      </c>
      <c r="AE87" s="244">
        <v>0</v>
      </c>
      <c r="AF87" s="242">
        <v>300000000</v>
      </c>
      <c r="AG87" s="242">
        <v>300000000</v>
      </c>
      <c r="AH87" s="293">
        <f t="shared" si="7"/>
        <v>1</v>
      </c>
      <c r="AI87" s="242">
        <v>300000000</v>
      </c>
      <c r="AJ87" s="417">
        <f t="shared" si="8"/>
        <v>1</v>
      </c>
      <c r="AK87" s="234" t="s">
        <v>176</v>
      </c>
      <c r="AL87" s="314" t="s">
        <v>177</v>
      </c>
      <c r="AM87" s="246"/>
    </row>
    <row r="88" spans="2:39" ht="30" customHeight="1" x14ac:dyDescent="0.2">
      <c r="B88" s="332"/>
      <c r="C88" s="331"/>
      <c r="D88" s="256"/>
      <c r="E88" s="331"/>
      <c r="F88" s="332"/>
      <c r="G88" s="247"/>
      <c r="H88" s="257"/>
      <c r="I88" s="247"/>
      <c r="J88" s="247"/>
      <c r="K88" s="247"/>
      <c r="L88" s="247"/>
      <c r="M88" s="247"/>
      <c r="N88" s="253"/>
      <c r="O88" s="387"/>
      <c r="P88" s="387"/>
      <c r="Q88" s="288"/>
      <c r="R88" s="283"/>
      <c r="S88" s="284"/>
      <c r="T88" s="284"/>
      <c r="U88" s="289"/>
      <c r="V88" s="284"/>
      <c r="W88" s="284"/>
      <c r="X88" s="270"/>
      <c r="Y88" s="426"/>
      <c r="Z88" s="287"/>
      <c r="AA88" s="290"/>
      <c r="AB88" s="351"/>
      <c r="AC88" s="322"/>
      <c r="AD88" s="247"/>
      <c r="AE88" s="245"/>
      <c r="AF88" s="243"/>
      <c r="AG88" s="243"/>
      <c r="AH88" s="320"/>
      <c r="AI88" s="243"/>
      <c r="AJ88" s="419"/>
      <c r="AK88" s="235"/>
      <c r="AL88" s="315"/>
      <c r="AM88" s="247"/>
    </row>
    <row r="89" spans="2:39" ht="51" x14ac:dyDescent="0.2">
      <c r="B89" s="332"/>
      <c r="C89" s="53" t="s">
        <v>49</v>
      </c>
      <c r="D89" s="256"/>
      <c r="E89" s="53" t="s">
        <v>239</v>
      </c>
      <c r="F89" s="332"/>
      <c r="G89" s="129" t="s">
        <v>56</v>
      </c>
      <c r="H89" s="140">
        <v>0.05</v>
      </c>
      <c r="I89" s="129" t="s">
        <v>65</v>
      </c>
      <c r="J89" s="129">
        <v>1</v>
      </c>
      <c r="K89" s="129">
        <v>1</v>
      </c>
      <c r="L89" s="129" t="s">
        <v>67</v>
      </c>
      <c r="M89" s="129">
        <v>0</v>
      </c>
      <c r="N89" s="198" t="s">
        <v>68</v>
      </c>
      <c r="O89" s="196" t="s">
        <v>68</v>
      </c>
      <c r="P89" s="146" t="s">
        <v>68</v>
      </c>
      <c r="Q89" s="129" t="s">
        <v>68</v>
      </c>
      <c r="R89" s="129" t="s">
        <v>68</v>
      </c>
      <c r="S89" s="129" t="s">
        <v>68</v>
      </c>
      <c r="T89" s="129" t="s">
        <v>68</v>
      </c>
      <c r="U89" s="209" t="s">
        <v>68</v>
      </c>
      <c r="V89" s="129" t="s">
        <v>68</v>
      </c>
      <c r="W89" s="129"/>
      <c r="X89" s="129" t="s">
        <v>68</v>
      </c>
      <c r="Y89" s="209" t="s">
        <v>68</v>
      </c>
      <c r="Z89" s="129" t="s">
        <v>68</v>
      </c>
      <c r="AA89" s="290"/>
      <c r="AB89" s="351"/>
      <c r="AC89" s="85" t="s">
        <v>68</v>
      </c>
      <c r="AD89" s="82" t="s">
        <v>68</v>
      </c>
      <c r="AE89" s="82" t="s">
        <v>68</v>
      </c>
      <c r="AF89" s="109" t="s">
        <v>68</v>
      </c>
      <c r="AG89" s="109" t="s">
        <v>68</v>
      </c>
      <c r="AH89" s="109" t="s">
        <v>68</v>
      </c>
      <c r="AI89" s="109" t="s">
        <v>68</v>
      </c>
      <c r="AJ89" s="183" t="s">
        <v>68</v>
      </c>
      <c r="AK89" s="101" t="s">
        <v>176</v>
      </c>
      <c r="AL89" s="94" t="s">
        <v>177</v>
      </c>
      <c r="AM89" s="54"/>
    </row>
    <row r="90" spans="2:39" ht="43.15" customHeight="1" x14ac:dyDescent="0.2">
      <c r="B90" s="332"/>
      <c r="C90" s="330" t="s">
        <v>49</v>
      </c>
      <c r="D90" s="256"/>
      <c r="E90" s="330" t="s">
        <v>239</v>
      </c>
      <c r="F90" s="332"/>
      <c r="G90" s="333" t="s">
        <v>57</v>
      </c>
      <c r="H90" s="316">
        <v>0.05</v>
      </c>
      <c r="I90" s="333" t="s">
        <v>65</v>
      </c>
      <c r="J90" s="333">
        <v>0</v>
      </c>
      <c r="K90" s="333">
        <v>1</v>
      </c>
      <c r="L90" s="333" t="s">
        <v>67</v>
      </c>
      <c r="M90" s="366">
        <v>1</v>
      </c>
      <c r="N90" s="251">
        <f>+SUMPRODUCT(R90*W90)</f>
        <v>0</v>
      </c>
      <c r="O90" s="387">
        <f>+SUMPRODUCT(T90)</f>
        <v>0</v>
      </c>
      <c r="P90" s="303">
        <f>+SUMPRODUCT(R90*W90)</f>
        <v>0</v>
      </c>
      <c r="Q90" s="270" t="s">
        <v>135</v>
      </c>
      <c r="R90" s="290">
        <v>1</v>
      </c>
      <c r="S90" s="290">
        <v>0</v>
      </c>
      <c r="T90" s="290">
        <v>0</v>
      </c>
      <c r="U90" s="273">
        <v>0</v>
      </c>
      <c r="V90" s="290"/>
      <c r="W90" s="290">
        <f>+SUMPRODUCT(S90:V92)</f>
        <v>0</v>
      </c>
      <c r="X90" s="270" t="s">
        <v>70</v>
      </c>
      <c r="Y90" s="295"/>
      <c r="Z90" s="270"/>
      <c r="AA90" s="290"/>
      <c r="AB90" s="351"/>
      <c r="AC90" s="85" t="s">
        <v>171</v>
      </c>
      <c r="AD90" s="85" t="s">
        <v>159</v>
      </c>
      <c r="AE90" s="66">
        <v>51300000</v>
      </c>
      <c r="AF90" s="87">
        <v>51300000</v>
      </c>
      <c r="AG90" s="87">
        <v>0</v>
      </c>
      <c r="AH90" s="99">
        <f>+AG90/AF90</f>
        <v>0</v>
      </c>
      <c r="AI90" s="87">
        <v>0</v>
      </c>
      <c r="AJ90" s="180">
        <f>+AI90/AF90</f>
        <v>0</v>
      </c>
      <c r="AK90" s="101" t="s">
        <v>176</v>
      </c>
      <c r="AL90" s="94" t="s">
        <v>177</v>
      </c>
      <c r="AM90" s="85"/>
    </row>
    <row r="91" spans="2:39" ht="43.15" customHeight="1" x14ac:dyDescent="0.2">
      <c r="B91" s="332"/>
      <c r="C91" s="332"/>
      <c r="D91" s="256"/>
      <c r="E91" s="332"/>
      <c r="F91" s="332"/>
      <c r="G91" s="335"/>
      <c r="H91" s="317"/>
      <c r="I91" s="335"/>
      <c r="J91" s="335"/>
      <c r="K91" s="335"/>
      <c r="L91" s="335"/>
      <c r="M91" s="368"/>
      <c r="N91" s="252"/>
      <c r="O91" s="387"/>
      <c r="P91" s="303"/>
      <c r="Q91" s="270"/>
      <c r="R91" s="290"/>
      <c r="S91" s="290"/>
      <c r="T91" s="290"/>
      <c r="U91" s="273"/>
      <c r="V91" s="290"/>
      <c r="W91" s="290"/>
      <c r="X91" s="270"/>
      <c r="Y91" s="295"/>
      <c r="Z91" s="270"/>
      <c r="AA91" s="290"/>
      <c r="AB91" s="351"/>
      <c r="AC91" s="85" t="s">
        <v>231</v>
      </c>
      <c r="AD91" s="85" t="s">
        <v>232</v>
      </c>
      <c r="AE91" s="66">
        <v>0</v>
      </c>
      <c r="AF91" s="87">
        <v>406859568.88999999</v>
      </c>
      <c r="AG91" s="87">
        <v>0</v>
      </c>
      <c r="AH91" s="99">
        <f>+AG91/AF91</f>
        <v>0</v>
      </c>
      <c r="AI91" s="87"/>
      <c r="AJ91" s="180">
        <f>+AI91/AF91</f>
        <v>0</v>
      </c>
      <c r="AK91" s="101"/>
      <c r="AL91" s="94"/>
      <c r="AM91" s="85"/>
    </row>
    <row r="92" spans="2:39" ht="30" x14ac:dyDescent="0.2">
      <c r="B92" s="332"/>
      <c r="C92" s="331"/>
      <c r="D92" s="256"/>
      <c r="E92" s="331"/>
      <c r="F92" s="332"/>
      <c r="G92" s="334"/>
      <c r="H92" s="318"/>
      <c r="I92" s="334"/>
      <c r="J92" s="334"/>
      <c r="K92" s="334"/>
      <c r="L92" s="334"/>
      <c r="M92" s="367"/>
      <c r="N92" s="253"/>
      <c r="O92" s="387"/>
      <c r="P92" s="303"/>
      <c r="Q92" s="270"/>
      <c r="R92" s="290">
        <v>1</v>
      </c>
      <c r="S92" s="290"/>
      <c r="T92" s="290"/>
      <c r="U92" s="273"/>
      <c r="V92" s="290"/>
      <c r="W92" s="290"/>
      <c r="X92" s="270" t="s">
        <v>70</v>
      </c>
      <c r="Y92" s="295"/>
      <c r="Z92" s="270"/>
      <c r="AA92" s="290"/>
      <c r="AB92" s="351"/>
      <c r="AC92" s="128" t="s">
        <v>170</v>
      </c>
      <c r="AD92" s="54" t="s">
        <v>161</v>
      </c>
      <c r="AE92" s="66">
        <v>0</v>
      </c>
      <c r="AF92" s="87">
        <v>19885300</v>
      </c>
      <c r="AG92" s="87">
        <v>19885300</v>
      </c>
      <c r="AH92" s="99">
        <f>+AG92/AF92</f>
        <v>1</v>
      </c>
      <c r="AI92" s="87">
        <v>19885300</v>
      </c>
      <c r="AJ92" s="180">
        <f>+AI92/AF92</f>
        <v>1</v>
      </c>
      <c r="AK92" s="101" t="s">
        <v>176</v>
      </c>
      <c r="AL92" s="94" t="s">
        <v>177</v>
      </c>
      <c r="AM92" s="54"/>
    </row>
    <row r="93" spans="2:39" ht="30" customHeight="1" x14ac:dyDescent="0.2">
      <c r="B93" s="332"/>
      <c r="C93" s="330" t="s">
        <v>49</v>
      </c>
      <c r="D93" s="256"/>
      <c r="E93" s="330" t="s">
        <v>239</v>
      </c>
      <c r="F93" s="332"/>
      <c r="G93" s="333" t="s">
        <v>58</v>
      </c>
      <c r="H93" s="316">
        <v>0.1</v>
      </c>
      <c r="I93" s="333" t="s">
        <v>65</v>
      </c>
      <c r="J93" s="333">
        <v>0</v>
      </c>
      <c r="K93" s="333">
        <v>1</v>
      </c>
      <c r="L93" s="333" t="s">
        <v>67</v>
      </c>
      <c r="M93" s="366">
        <v>0</v>
      </c>
      <c r="N93" s="251" t="s">
        <v>68</v>
      </c>
      <c r="O93" s="387" t="s">
        <v>68</v>
      </c>
      <c r="P93" s="303" t="s">
        <v>68</v>
      </c>
      <c r="Q93" s="325" t="s">
        <v>68</v>
      </c>
      <c r="R93" s="325" t="s">
        <v>68</v>
      </c>
      <c r="S93" s="325" t="s">
        <v>68</v>
      </c>
      <c r="T93" s="325" t="s">
        <v>68</v>
      </c>
      <c r="U93" s="295" t="s">
        <v>68</v>
      </c>
      <c r="V93" s="325" t="s">
        <v>68</v>
      </c>
      <c r="W93" s="129"/>
      <c r="X93" s="325" t="s">
        <v>68</v>
      </c>
      <c r="Y93" s="295" t="s">
        <v>68</v>
      </c>
      <c r="Z93" s="325" t="s">
        <v>68</v>
      </c>
      <c r="AA93" s="290"/>
      <c r="AB93" s="351"/>
      <c r="AC93" s="270" t="s">
        <v>68</v>
      </c>
      <c r="AD93" s="246" t="s">
        <v>68</v>
      </c>
      <c r="AE93" s="246" t="s">
        <v>68</v>
      </c>
      <c r="AF93" s="238" t="s">
        <v>68</v>
      </c>
      <c r="AG93" s="238" t="s">
        <v>68</v>
      </c>
      <c r="AH93" s="238" t="s">
        <v>68</v>
      </c>
      <c r="AI93" s="238" t="s">
        <v>68</v>
      </c>
      <c r="AJ93" s="420" t="s">
        <v>68</v>
      </c>
      <c r="AK93" s="101" t="s">
        <v>176</v>
      </c>
      <c r="AL93" s="94" t="s">
        <v>177</v>
      </c>
      <c r="AM93" s="246"/>
    </row>
    <row r="94" spans="2:39" ht="30" customHeight="1" x14ac:dyDescent="0.2">
      <c r="B94" s="332"/>
      <c r="C94" s="331"/>
      <c r="D94" s="256"/>
      <c r="E94" s="331"/>
      <c r="F94" s="332"/>
      <c r="G94" s="334"/>
      <c r="H94" s="318"/>
      <c r="I94" s="334"/>
      <c r="J94" s="334"/>
      <c r="K94" s="334"/>
      <c r="L94" s="334"/>
      <c r="M94" s="367"/>
      <c r="N94" s="253"/>
      <c r="O94" s="387"/>
      <c r="P94" s="303"/>
      <c r="Q94" s="325"/>
      <c r="R94" s="325"/>
      <c r="S94" s="325"/>
      <c r="T94" s="325"/>
      <c r="U94" s="295"/>
      <c r="V94" s="325"/>
      <c r="W94" s="129"/>
      <c r="X94" s="325"/>
      <c r="Y94" s="295"/>
      <c r="Z94" s="325"/>
      <c r="AA94" s="290"/>
      <c r="AB94" s="351"/>
      <c r="AC94" s="270"/>
      <c r="AD94" s="247"/>
      <c r="AE94" s="247"/>
      <c r="AF94" s="239"/>
      <c r="AG94" s="239"/>
      <c r="AH94" s="239"/>
      <c r="AI94" s="239"/>
      <c r="AJ94" s="421"/>
      <c r="AK94" s="101" t="s">
        <v>176</v>
      </c>
      <c r="AL94" s="94" t="s">
        <v>177</v>
      </c>
      <c r="AM94" s="247"/>
    </row>
    <row r="95" spans="2:39" ht="51" x14ac:dyDescent="0.2">
      <c r="B95" s="332"/>
      <c r="C95" s="53" t="s">
        <v>49</v>
      </c>
      <c r="D95" s="256"/>
      <c r="E95" s="53" t="s">
        <v>239</v>
      </c>
      <c r="F95" s="332"/>
      <c r="G95" s="129" t="s">
        <v>59</v>
      </c>
      <c r="H95" s="140">
        <v>0.1</v>
      </c>
      <c r="I95" s="129" t="s">
        <v>65</v>
      </c>
      <c r="J95" s="129">
        <v>0</v>
      </c>
      <c r="K95" s="129">
        <v>1</v>
      </c>
      <c r="L95" s="129" t="s">
        <v>67</v>
      </c>
      <c r="M95" s="129">
        <v>0</v>
      </c>
      <c r="N95" s="198" t="s">
        <v>68</v>
      </c>
      <c r="O95" s="196" t="s">
        <v>68</v>
      </c>
      <c r="P95" s="146" t="s">
        <v>68</v>
      </c>
      <c r="Q95" s="129" t="s">
        <v>68</v>
      </c>
      <c r="R95" s="129" t="s">
        <v>68</v>
      </c>
      <c r="S95" s="129" t="s">
        <v>68</v>
      </c>
      <c r="T95" s="129" t="s">
        <v>68</v>
      </c>
      <c r="U95" s="209" t="s">
        <v>68</v>
      </c>
      <c r="V95" s="129" t="s">
        <v>68</v>
      </c>
      <c r="W95" s="129"/>
      <c r="X95" s="129" t="s">
        <v>68</v>
      </c>
      <c r="Y95" s="209" t="s">
        <v>68</v>
      </c>
      <c r="Z95" s="129" t="s">
        <v>68</v>
      </c>
      <c r="AA95" s="290"/>
      <c r="AB95" s="351"/>
      <c r="AC95" s="85" t="s">
        <v>68</v>
      </c>
      <c r="AD95" s="82" t="s">
        <v>68</v>
      </c>
      <c r="AE95" s="82" t="s">
        <v>68</v>
      </c>
      <c r="AF95" s="109" t="s">
        <v>68</v>
      </c>
      <c r="AG95" s="109" t="s">
        <v>68</v>
      </c>
      <c r="AH95" s="109" t="s">
        <v>68</v>
      </c>
      <c r="AI95" s="109" t="s">
        <v>68</v>
      </c>
      <c r="AJ95" s="183" t="s">
        <v>68</v>
      </c>
      <c r="AK95" s="101" t="s">
        <v>176</v>
      </c>
      <c r="AL95" s="94" t="s">
        <v>177</v>
      </c>
      <c r="AM95" s="54"/>
    </row>
    <row r="96" spans="2:39" ht="28.5" customHeight="1" x14ac:dyDescent="0.2">
      <c r="B96" s="332"/>
      <c r="C96" s="330" t="s">
        <v>49</v>
      </c>
      <c r="D96" s="256"/>
      <c r="E96" s="330" t="s">
        <v>239</v>
      </c>
      <c r="F96" s="332"/>
      <c r="G96" s="246" t="s">
        <v>60</v>
      </c>
      <c r="H96" s="255">
        <v>0.1</v>
      </c>
      <c r="I96" s="246" t="s">
        <v>65</v>
      </c>
      <c r="J96" s="246">
        <v>0</v>
      </c>
      <c r="K96" s="246">
        <v>1</v>
      </c>
      <c r="L96" s="246" t="s">
        <v>67</v>
      </c>
      <c r="M96" s="246">
        <v>1</v>
      </c>
      <c r="N96" s="251">
        <f>+SUMPRODUCT(R96*W96)</f>
        <v>0.73</v>
      </c>
      <c r="O96" s="387">
        <f>SUMPRODUCT(R96*U96)</f>
        <v>0.4</v>
      </c>
      <c r="P96" s="387">
        <f>+SUMPRODUCT(R96*W96)</f>
        <v>0.73</v>
      </c>
      <c r="Q96" s="287" t="s">
        <v>136</v>
      </c>
      <c r="R96" s="290">
        <v>1</v>
      </c>
      <c r="S96" s="290">
        <v>0</v>
      </c>
      <c r="T96" s="290">
        <v>0.33</v>
      </c>
      <c r="U96" s="273">
        <v>0.4</v>
      </c>
      <c r="V96" s="290"/>
      <c r="W96" s="290">
        <f>+SUMPRODUCT(S96:V98)</f>
        <v>0.73</v>
      </c>
      <c r="X96" s="270" t="s">
        <v>70</v>
      </c>
      <c r="Y96" s="295" t="s">
        <v>207</v>
      </c>
      <c r="Z96" s="270" t="s">
        <v>208</v>
      </c>
      <c r="AA96" s="290"/>
      <c r="AB96" s="351"/>
      <c r="AC96" s="246" t="s">
        <v>230</v>
      </c>
      <c r="AD96" s="246" t="s">
        <v>227</v>
      </c>
      <c r="AE96" s="244">
        <v>0</v>
      </c>
      <c r="AF96" s="242">
        <v>0</v>
      </c>
      <c r="AG96" s="238">
        <v>0</v>
      </c>
      <c r="AH96" s="240">
        <v>0</v>
      </c>
      <c r="AI96" s="238">
        <v>0</v>
      </c>
      <c r="AJ96" s="236">
        <v>0</v>
      </c>
      <c r="AK96" s="234" t="s">
        <v>176</v>
      </c>
      <c r="AL96" s="314" t="s">
        <v>177</v>
      </c>
      <c r="AM96" s="246"/>
    </row>
    <row r="97" spans="2:39" ht="30" customHeight="1" x14ac:dyDescent="0.2">
      <c r="B97" s="332"/>
      <c r="C97" s="332"/>
      <c r="D97" s="256"/>
      <c r="E97" s="332"/>
      <c r="F97" s="332"/>
      <c r="G97" s="254"/>
      <c r="H97" s="256"/>
      <c r="I97" s="254"/>
      <c r="J97" s="254"/>
      <c r="K97" s="254"/>
      <c r="L97" s="254"/>
      <c r="M97" s="254"/>
      <c r="N97" s="252"/>
      <c r="O97" s="387"/>
      <c r="P97" s="387"/>
      <c r="Q97" s="287"/>
      <c r="R97" s="290"/>
      <c r="S97" s="290"/>
      <c r="T97" s="290"/>
      <c r="U97" s="273"/>
      <c r="V97" s="290"/>
      <c r="W97" s="290"/>
      <c r="X97" s="270"/>
      <c r="Y97" s="295"/>
      <c r="Z97" s="270"/>
      <c r="AA97" s="290"/>
      <c r="AB97" s="351"/>
      <c r="AC97" s="247"/>
      <c r="AD97" s="247"/>
      <c r="AE97" s="245"/>
      <c r="AF97" s="243"/>
      <c r="AG97" s="239"/>
      <c r="AH97" s="241"/>
      <c r="AI97" s="239"/>
      <c r="AJ97" s="237"/>
      <c r="AK97" s="235"/>
      <c r="AL97" s="315"/>
      <c r="AM97" s="254"/>
    </row>
    <row r="98" spans="2:39" ht="30" x14ac:dyDescent="0.2">
      <c r="B98" s="332"/>
      <c r="C98" s="331"/>
      <c r="D98" s="257"/>
      <c r="E98" s="331"/>
      <c r="F98" s="331"/>
      <c r="G98" s="254"/>
      <c r="H98" s="256"/>
      <c r="I98" s="254"/>
      <c r="J98" s="254"/>
      <c r="K98" s="254"/>
      <c r="L98" s="254"/>
      <c r="M98" s="254"/>
      <c r="N98" s="252"/>
      <c r="O98" s="395"/>
      <c r="P98" s="395"/>
      <c r="Q98" s="275"/>
      <c r="R98" s="290"/>
      <c r="S98" s="290"/>
      <c r="T98" s="290"/>
      <c r="U98" s="273"/>
      <c r="V98" s="290"/>
      <c r="W98" s="290"/>
      <c r="X98" s="270"/>
      <c r="Y98" s="295"/>
      <c r="Z98" s="270"/>
      <c r="AA98" s="290"/>
      <c r="AB98" s="351"/>
      <c r="AC98" s="78" t="s">
        <v>243</v>
      </c>
      <c r="AD98" s="227" t="s">
        <v>227</v>
      </c>
      <c r="AE98" s="214">
        <v>0</v>
      </c>
      <c r="AF98" s="215">
        <f>86947980+300000000</f>
        <v>386947980</v>
      </c>
      <c r="AG98" s="216">
        <v>0</v>
      </c>
      <c r="AH98" s="220">
        <f>+AG98/AF98</f>
        <v>0</v>
      </c>
      <c r="AI98" s="216">
        <v>0</v>
      </c>
      <c r="AJ98" s="219">
        <f>+AI98/AF98</f>
        <v>0</v>
      </c>
      <c r="AK98" s="228" t="s">
        <v>176</v>
      </c>
      <c r="AL98" s="217" t="s">
        <v>177</v>
      </c>
      <c r="AM98" s="254"/>
    </row>
    <row r="99" spans="2:39" ht="30" x14ac:dyDescent="0.2">
      <c r="B99" s="332"/>
      <c r="C99" s="330" t="s">
        <v>61</v>
      </c>
      <c r="D99" s="255">
        <v>0.2</v>
      </c>
      <c r="E99" s="330" t="s">
        <v>240</v>
      </c>
      <c r="F99" s="336">
        <v>1</v>
      </c>
      <c r="G99" s="270" t="s">
        <v>62</v>
      </c>
      <c r="H99" s="290">
        <v>0.35</v>
      </c>
      <c r="I99" s="270" t="s">
        <v>65</v>
      </c>
      <c r="J99" s="270">
        <v>4</v>
      </c>
      <c r="K99" s="270">
        <v>5</v>
      </c>
      <c r="L99" s="270" t="s">
        <v>67</v>
      </c>
      <c r="M99" s="270">
        <v>1</v>
      </c>
      <c r="N99" s="396">
        <f>+SUMPRODUCT(R100*W100)</f>
        <v>0.8</v>
      </c>
      <c r="O99" s="387">
        <f>SUMPRODUCT(R99*U99)</f>
        <v>0.2</v>
      </c>
      <c r="P99" s="387">
        <f>+SUMPRODUCT(R99*W99)</f>
        <v>0.8</v>
      </c>
      <c r="Q99" s="77" t="s">
        <v>137</v>
      </c>
      <c r="R99" s="153">
        <v>1</v>
      </c>
      <c r="S99" s="153">
        <f>+SUMPRODUCT($R$100*S100)</f>
        <v>0.1</v>
      </c>
      <c r="T99" s="153">
        <f>+SUMPRODUCT($R$100*T100)</f>
        <v>0.5</v>
      </c>
      <c r="U99" s="204">
        <f>+SUMPRODUCT($R$100*U100)</f>
        <v>0.2</v>
      </c>
      <c r="V99" s="153">
        <f>+SUMPRODUCT($R$100*V100)</f>
        <v>0</v>
      </c>
      <c r="W99" s="153">
        <f t="shared" ref="W99:W103" si="9">+SUMPRODUCT(S99:V99)</f>
        <v>0.8</v>
      </c>
      <c r="X99" s="53"/>
      <c r="Y99" s="211"/>
      <c r="Z99" s="77"/>
      <c r="AA99" s="290" t="s">
        <v>154</v>
      </c>
      <c r="AB99" s="351" t="s">
        <v>199</v>
      </c>
      <c r="AC99" s="53" t="s">
        <v>68</v>
      </c>
      <c r="AD99" s="53" t="s">
        <v>68</v>
      </c>
      <c r="AE99" s="53" t="s">
        <v>68</v>
      </c>
      <c r="AF99" s="107" t="s">
        <v>68</v>
      </c>
      <c r="AG99" s="107" t="s">
        <v>68</v>
      </c>
      <c r="AH99" s="107" t="s">
        <v>68</v>
      </c>
      <c r="AI99" s="107" t="s">
        <v>68</v>
      </c>
      <c r="AJ99" s="107" t="s">
        <v>68</v>
      </c>
      <c r="AK99" s="101" t="s">
        <v>176</v>
      </c>
      <c r="AL99" s="94" t="s">
        <v>177</v>
      </c>
      <c r="AM99" s="53"/>
    </row>
    <row r="100" spans="2:39" ht="280.5" x14ac:dyDescent="0.2">
      <c r="B100" s="332"/>
      <c r="C100" s="331"/>
      <c r="D100" s="256"/>
      <c r="E100" s="331"/>
      <c r="F100" s="332"/>
      <c r="G100" s="270"/>
      <c r="H100" s="290"/>
      <c r="I100" s="270"/>
      <c r="J100" s="270"/>
      <c r="K100" s="270"/>
      <c r="L100" s="270"/>
      <c r="M100" s="270"/>
      <c r="N100" s="396"/>
      <c r="O100" s="387"/>
      <c r="P100" s="387"/>
      <c r="Q100" s="76" t="s">
        <v>138</v>
      </c>
      <c r="R100" s="55">
        <v>1</v>
      </c>
      <c r="S100" s="55">
        <v>0.1</v>
      </c>
      <c r="T100" s="55">
        <v>0.5</v>
      </c>
      <c r="U100" s="202">
        <v>0.2</v>
      </c>
      <c r="V100" s="55"/>
      <c r="W100" s="153">
        <f t="shared" si="9"/>
        <v>0.8</v>
      </c>
      <c r="X100" s="85" t="s">
        <v>70</v>
      </c>
      <c r="Y100" s="210" t="s">
        <v>219</v>
      </c>
      <c r="Z100" s="76" t="s">
        <v>266</v>
      </c>
      <c r="AA100" s="290"/>
      <c r="AB100" s="351"/>
      <c r="AC100" s="188" t="s">
        <v>172</v>
      </c>
      <c r="AD100" s="85" t="s">
        <v>157</v>
      </c>
      <c r="AE100" s="66">
        <v>104502197</v>
      </c>
      <c r="AF100" s="87">
        <v>104502197</v>
      </c>
      <c r="AG100" s="87">
        <v>83000000</v>
      </c>
      <c r="AH100" s="186">
        <f>+AG100/AF100</f>
        <v>0.79424167512956689</v>
      </c>
      <c r="AI100" s="143">
        <v>83000000</v>
      </c>
      <c r="AJ100" s="186">
        <f>+AI100/AF100</f>
        <v>0.79424167512956689</v>
      </c>
      <c r="AK100" s="101" t="s">
        <v>176</v>
      </c>
      <c r="AL100" s="94" t="s">
        <v>177</v>
      </c>
      <c r="AM100" s="85"/>
    </row>
    <row r="101" spans="2:39" ht="30" customHeight="1" x14ac:dyDescent="0.2">
      <c r="B101" s="332"/>
      <c r="C101" s="330" t="s">
        <v>61</v>
      </c>
      <c r="D101" s="256"/>
      <c r="E101" s="330" t="s">
        <v>240</v>
      </c>
      <c r="F101" s="332"/>
      <c r="G101" s="254" t="s">
        <v>63</v>
      </c>
      <c r="H101" s="256">
        <v>0.45</v>
      </c>
      <c r="I101" s="254" t="s">
        <v>65</v>
      </c>
      <c r="J101" s="254">
        <v>3</v>
      </c>
      <c r="K101" s="254">
        <v>3</v>
      </c>
      <c r="L101" s="254" t="s">
        <v>66</v>
      </c>
      <c r="M101" s="254">
        <v>3</v>
      </c>
      <c r="N101" s="252">
        <f>+SUMPRODUCT(R101*W101+R104*W104+R110*W110)*M101</f>
        <v>2.015570454545454</v>
      </c>
      <c r="O101" s="391">
        <f>+SUMPRODUCT(R101*U101)+(R104*U104)+(R110*U110)</f>
        <v>0.47</v>
      </c>
      <c r="P101" s="393">
        <f>+SUMPRODUCT(R101*W101)+(R104*W104)+(R110*W110)</f>
        <v>0.67185681818181808</v>
      </c>
      <c r="Q101" s="178" t="s">
        <v>139</v>
      </c>
      <c r="R101" s="163">
        <v>0.35</v>
      </c>
      <c r="S101" s="163">
        <f>+SUM(S102:S103)</f>
        <v>0.2</v>
      </c>
      <c r="T101" s="163">
        <f>+SUMPRODUCT(T102:T103)</f>
        <v>0.05</v>
      </c>
      <c r="U101" s="204">
        <f>+SUMPRODUCT(U102:U103)</f>
        <v>0.5</v>
      </c>
      <c r="V101" s="163"/>
      <c r="W101" s="163">
        <f t="shared" si="9"/>
        <v>0.75</v>
      </c>
      <c r="X101" s="53"/>
      <c r="Y101" s="211"/>
      <c r="Z101" s="77"/>
      <c r="AA101" s="290"/>
      <c r="AB101" s="351"/>
      <c r="AC101" s="422" t="s">
        <v>175</v>
      </c>
      <c r="AD101" s="409" t="s">
        <v>161</v>
      </c>
      <c r="AE101" s="415">
        <v>0</v>
      </c>
      <c r="AF101" s="349">
        <v>363000000</v>
      </c>
      <c r="AG101" s="349">
        <v>278000000</v>
      </c>
      <c r="AH101" s="294">
        <f>+AG101/AF101</f>
        <v>0.7658402203856749</v>
      </c>
      <c r="AI101" s="349">
        <v>278000000</v>
      </c>
      <c r="AJ101" s="305">
        <f>+AI101/AF101</f>
        <v>0.7658402203856749</v>
      </c>
      <c r="AK101" s="184" t="s">
        <v>176</v>
      </c>
      <c r="AL101" s="179" t="s">
        <v>177</v>
      </c>
      <c r="AM101" s="185"/>
    </row>
    <row r="102" spans="2:39" ht="108" customHeight="1" x14ac:dyDescent="0.2">
      <c r="B102" s="332"/>
      <c r="C102" s="332"/>
      <c r="D102" s="256"/>
      <c r="E102" s="332"/>
      <c r="F102" s="332"/>
      <c r="G102" s="254"/>
      <c r="H102" s="256"/>
      <c r="I102" s="254"/>
      <c r="J102" s="254"/>
      <c r="K102" s="254"/>
      <c r="L102" s="254"/>
      <c r="M102" s="254"/>
      <c r="N102" s="252"/>
      <c r="O102" s="392"/>
      <c r="P102" s="394"/>
      <c r="Q102" s="76" t="s">
        <v>140</v>
      </c>
      <c r="R102" s="55">
        <v>0.5</v>
      </c>
      <c r="S102" s="55">
        <v>0.1</v>
      </c>
      <c r="T102" s="55">
        <v>0.05</v>
      </c>
      <c r="U102" s="202">
        <v>0.2</v>
      </c>
      <c r="V102" s="55"/>
      <c r="W102" s="153">
        <f t="shared" si="9"/>
        <v>0.35000000000000003</v>
      </c>
      <c r="X102" s="85" t="s">
        <v>70</v>
      </c>
      <c r="Y102" s="210" t="s">
        <v>220</v>
      </c>
      <c r="Z102" s="76" t="s">
        <v>213</v>
      </c>
      <c r="AA102" s="290"/>
      <c r="AB102" s="351"/>
      <c r="AC102" s="423"/>
      <c r="AD102" s="410"/>
      <c r="AE102" s="415"/>
      <c r="AF102" s="349"/>
      <c r="AG102" s="349"/>
      <c r="AH102" s="294"/>
      <c r="AI102" s="349"/>
      <c r="AJ102" s="305"/>
      <c r="AK102" s="101" t="s">
        <v>176</v>
      </c>
      <c r="AL102" s="94" t="s">
        <v>177</v>
      </c>
      <c r="AM102" s="59"/>
    </row>
    <row r="103" spans="2:39" ht="54.75" customHeight="1" x14ac:dyDescent="0.2">
      <c r="B103" s="332"/>
      <c r="C103" s="332"/>
      <c r="D103" s="256"/>
      <c r="E103" s="332"/>
      <c r="F103" s="332"/>
      <c r="G103" s="254"/>
      <c r="H103" s="256"/>
      <c r="I103" s="254"/>
      <c r="J103" s="254"/>
      <c r="K103" s="254"/>
      <c r="L103" s="254"/>
      <c r="M103" s="254"/>
      <c r="N103" s="252"/>
      <c r="O103" s="392"/>
      <c r="P103" s="394"/>
      <c r="Q103" s="76" t="s">
        <v>141</v>
      </c>
      <c r="R103" s="55">
        <v>0.5</v>
      </c>
      <c r="S103" s="55">
        <v>0.1</v>
      </c>
      <c r="T103" s="55">
        <v>0</v>
      </c>
      <c r="U103" s="202">
        <v>0.3</v>
      </c>
      <c r="V103" s="55"/>
      <c r="W103" s="153">
        <f t="shared" si="9"/>
        <v>0.4</v>
      </c>
      <c r="X103" s="85" t="s">
        <v>70</v>
      </c>
      <c r="Y103" s="210" t="s">
        <v>221</v>
      </c>
      <c r="Z103" s="76" t="s">
        <v>213</v>
      </c>
      <c r="AA103" s="290"/>
      <c r="AB103" s="351"/>
      <c r="AC103" s="423"/>
      <c r="AD103" s="410"/>
      <c r="AE103" s="415"/>
      <c r="AF103" s="349"/>
      <c r="AG103" s="349"/>
      <c r="AH103" s="294"/>
      <c r="AI103" s="349"/>
      <c r="AJ103" s="305"/>
      <c r="AK103" s="101" t="s">
        <v>176</v>
      </c>
      <c r="AL103" s="94" t="s">
        <v>177</v>
      </c>
      <c r="AM103" s="300"/>
    </row>
    <row r="104" spans="2:39" ht="30" x14ac:dyDescent="0.2">
      <c r="B104" s="332"/>
      <c r="C104" s="332"/>
      <c r="D104" s="256"/>
      <c r="E104" s="332"/>
      <c r="F104" s="332"/>
      <c r="G104" s="254"/>
      <c r="H104" s="256"/>
      <c r="I104" s="254"/>
      <c r="J104" s="254"/>
      <c r="K104" s="254"/>
      <c r="L104" s="254"/>
      <c r="M104" s="254"/>
      <c r="N104" s="252"/>
      <c r="O104" s="392"/>
      <c r="P104" s="394"/>
      <c r="Q104" s="161" t="s">
        <v>142</v>
      </c>
      <c r="R104" s="163">
        <v>0.4</v>
      </c>
      <c r="S104" s="163">
        <f>+S105*R105+S106*R106+S107*R107+S108*R108+S109*R109</f>
        <v>0.06</v>
      </c>
      <c r="T104" s="163">
        <f>+T105*R105+T106*R106+T107*R107+T108*R108+T109*R109</f>
        <v>0.28200000000000003</v>
      </c>
      <c r="U104" s="204">
        <f>+U105*R105+U106*R106+U107*R107+U108*R108+U109*R109</f>
        <v>0.54999999999999993</v>
      </c>
      <c r="V104" s="163">
        <f>+V105*U105+V106*U106+V107*U107+V108*U108+V109*U109</f>
        <v>0</v>
      </c>
      <c r="W104" s="163">
        <f>+SUMPRODUCT(S104:V104)</f>
        <v>0.8919999999999999</v>
      </c>
      <c r="X104" s="53"/>
      <c r="Y104" s="211"/>
      <c r="Z104" s="77"/>
      <c r="AA104" s="290"/>
      <c r="AB104" s="351"/>
      <c r="AC104" s="423"/>
      <c r="AD104" s="410"/>
      <c r="AE104" s="415"/>
      <c r="AF104" s="349"/>
      <c r="AG104" s="349"/>
      <c r="AH104" s="294"/>
      <c r="AI104" s="349"/>
      <c r="AJ104" s="305"/>
      <c r="AK104" s="101" t="s">
        <v>176</v>
      </c>
      <c r="AL104" s="94" t="s">
        <v>177</v>
      </c>
      <c r="AM104" s="301"/>
    </row>
    <row r="105" spans="2:39" ht="48.6" customHeight="1" x14ac:dyDescent="0.2">
      <c r="B105" s="332"/>
      <c r="C105" s="332"/>
      <c r="D105" s="256"/>
      <c r="E105" s="332"/>
      <c r="F105" s="332"/>
      <c r="G105" s="254"/>
      <c r="H105" s="256"/>
      <c r="I105" s="254"/>
      <c r="J105" s="254"/>
      <c r="K105" s="254"/>
      <c r="L105" s="254"/>
      <c r="M105" s="254"/>
      <c r="N105" s="252"/>
      <c r="O105" s="392"/>
      <c r="P105" s="394"/>
      <c r="Q105" s="76" t="s">
        <v>143</v>
      </c>
      <c r="R105" s="55">
        <v>0.3</v>
      </c>
      <c r="S105" s="55">
        <v>0.1</v>
      </c>
      <c r="T105" s="55">
        <v>0.22</v>
      </c>
      <c r="U105" s="202">
        <v>0.5</v>
      </c>
      <c r="V105" s="55"/>
      <c r="W105" s="153">
        <f t="shared" ref="W105:W111" si="10">+SUMPRODUCT(S105:V105*R105)</f>
        <v>0.246</v>
      </c>
      <c r="X105" s="85" t="s">
        <v>70</v>
      </c>
      <c r="Y105" s="210" t="s">
        <v>241</v>
      </c>
      <c r="Z105" s="76" t="s">
        <v>213</v>
      </c>
      <c r="AA105" s="290"/>
      <c r="AB105" s="351"/>
      <c r="AC105" s="423"/>
      <c r="AD105" s="410"/>
      <c r="AE105" s="415"/>
      <c r="AF105" s="349"/>
      <c r="AG105" s="349"/>
      <c r="AH105" s="294"/>
      <c r="AI105" s="349"/>
      <c r="AJ105" s="305"/>
      <c r="AK105" s="101" t="s">
        <v>176</v>
      </c>
      <c r="AL105" s="94" t="s">
        <v>177</v>
      </c>
      <c r="AM105" s="302"/>
    </row>
    <row r="106" spans="2:39" ht="48.6" customHeight="1" x14ac:dyDescent="0.2">
      <c r="B106" s="332"/>
      <c r="C106" s="332"/>
      <c r="D106" s="256"/>
      <c r="E106" s="332"/>
      <c r="F106" s="332"/>
      <c r="G106" s="254"/>
      <c r="H106" s="256"/>
      <c r="I106" s="254"/>
      <c r="J106" s="254"/>
      <c r="K106" s="254"/>
      <c r="L106" s="254"/>
      <c r="M106" s="254"/>
      <c r="N106" s="252"/>
      <c r="O106" s="392"/>
      <c r="P106" s="394"/>
      <c r="Q106" s="76" t="s">
        <v>144</v>
      </c>
      <c r="R106" s="55">
        <v>0.3</v>
      </c>
      <c r="S106" s="55">
        <v>0.1</v>
      </c>
      <c r="T106" s="55">
        <v>0.22</v>
      </c>
      <c r="U106" s="202">
        <v>0.5</v>
      </c>
      <c r="V106" s="55"/>
      <c r="W106" s="153">
        <f t="shared" si="10"/>
        <v>0.246</v>
      </c>
      <c r="X106" s="85" t="s">
        <v>70</v>
      </c>
      <c r="Y106" s="210" t="s">
        <v>222</v>
      </c>
      <c r="Z106" s="76" t="s">
        <v>213</v>
      </c>
      <c r="AA106" s="290"/>
      <c r="AB106" s="351"/>
      <c r="AC106" s="423"/>
      <c r="AD106" s="363"/>
      <c r="AE106" s="416"/>
      <c r="AF106" s="350"/>
      <c r="AG106" s="350"/>
      <c r="AH106" s="320"/>
      <c r="AI106" s="350"/>
      <c r="AJ106" s="306"/>
      <c r="AK106" s="101" t="s">
        <v>176</v>
      </c>
      <c r="AL106" s="94" t="s">
        <v>177</v>
      </c>
      <c r="AM106" s="60"/>
    </row>
    <row r="107" spans="2:39" ht="48.6" customHeight="1" x14ac:dyDescent="0.2">
      <c r="B107" s="332"/>
      <c r="C107" s="332"/>
      <c r="D107" s="256"/>
      <c r="E107" s="332"/>
      <c r="F107" s="332"/>
      <c r="G107" s="254"/>
      <c r="H107" s="256"/>
      <c r="I107" s="254"/>
      <c r="J107" s="254"/>
      <c r="K107" s="254"/>
      <c r="L107" s="254"/>
      <c r="M107" s="254"/>
      <c r="N107" s="252"/>
      <c r="O107" s="392"/>
      <c r="P107" s="394"/>
      <c r="Q107" s="76" t="s">
        <v>145</v>
      </c>
      <c r="R107" s="55">
        <v>0.15</v>
      </c>
      <c r="S107" s="55">
        <v>0</v>
      </c>
      <c r="T107" s="55">
        <v>0</v>
      </c>
      <c r="U107" s="202">
        <v>1</v>
      </c>
      <c r="V107" s="55"/>
      <c r="W107" s="153">
        <f t="shared" si="10"/>
        <v>0.15</v>
      </c>
      <c r="X107" s="85" t="s">
        <v>70</v>
      </c>
      <c r="Y107" s="210"/>
      <c r="Z107" s="76"/>
      <c r="AA107" s="290"/>
      <c r="AB107" s="351"/>
      <c r="AC107" s="189" t="s">
        <v>173</v>
      </c>
      <c r="AD107" s="60" t="s">
        <v>174</v>
      </c>
      <c r="AE107" s="141">
        <v>9000000</v>
      </c>
      <c r="AF107" s="91">
        <v>9000000</v>
      </c>
      <c r="AG107" s="103">
        <v>9000000</v>
      </c>
      <c r="AH107" s="99">
        <f>+AG107/AF107</f>
        <v>1</v>
      </c>
      <c r="AI107" s="103">
        <v>9000000</v>
      </c>
      <c r="AJ107" s="100">
        <f>+AI107/AF107</f>
        <v>1</v>
      </c>
      <c r="AK107" s="101" t="s">
        <v>176</v>
      </c>
      <c r="AL107" s="94" t="s">
        <v>177</v>
      </c>
      <c r="AM107" s="60"/>
    </row>
    <row r="108" spans="2:39" ht="48.6" customHeight="1" x14ac:dyDescent="0.2">
      <c r="B108" s="332"/>
      <c r="C108" s="332"/>
      <c r="D108" s="256"/>
      <c r="E108" s="332"/>
      <c r="F108" s="332"/>
      <c r="G108" s="254"/>
      <c r="H108" s="256"/>
      <c r="I108" s="254"/>
      <c r="J108" s="254"/>
      <c r="K108" s="254"/>
      <c r="L108" s="254"/>
      <c r="M108" s="254"/>
      <c r="N108" s="252"/>
      <c r="O108" s="392"/>
      <c r="P108" s="394"/>
      <c r="Q108" s="76" t="s">
        <v>146</v>
      </c>
      <c r="R108" s="55">
        <v>0.15</v>
      </c>
      <c r="S108" s="55">
        <v>0</v>
      </c>
      <c r="T108" s="55">
        <v>1</v>
      </c>
      <c r="U108" s="202">
        <v>0</v>
      </c>
      <c r="V108" s="55"/>
      <c r="W108" s="153">
        <f t="shared" si="10"/>
        <v>0.15</v>
      </c>
      <c r="X108" s="85" t="s">
        <v>118</v>
      </c>
      <c r="Y108" s="210" t="s">
        <v>223</v>
      </c>
      <c r="Z108" s="76" t="s">
        <v>213</v>
      </c>
      <c r="AA108" s="290"/>
      <c r="AB108" s="351"/>
      <c r="AC108" s="130" t="s">
        <v>173</v>
      </c>
      <c r="AD108" s="61" t="s">
        <v>174</v>
      </c>
      <c r="AE108" s="65">
        <v>5000000</v>
      </c>
      <c r="AF108" s="177">
        <v>0</v>
      </c>
      <c r="AG108" s="104">
        <v>0</v>
      </c>
      <c r="AH108" s="99">
        <v>0</v>
      </c>
      <c r="AI108" s="104">
        <v>0</v>
      </c>
      <c r="AJ108" s="176">
        <v>0</v>
      </c>
      <c r="AK108" s="101" t="s">
        <v>176</v>
      </c>
      <c r="AL108" s="94" t="s">
        <v>177</v>
      </c>
      <c r="AM108" s="61"/>
    </row>
    <row r="109" spans="2:39" ht="48.6" customHeight="1" x14ac:dyDescent="0.2">
      <c r="B109" s="332"/>
      <c r="C109" s="332"/>
      <c r="D109" s="256"/>
      <c r="E109" s="332"/>
      <c r="F109" s="332"/>
      <c r="G109" s="254"/>
      <c r="H109" s="256"/>
      <c r="I109" s="254"/>
      <c r="J109" s="254"/>
      <c r="K109" s="254"/>
      <c r="L109" s="254"/>
      <c r="M109" s="254"/>
      <c r="N109" s="252"/>
      <c r="O109" s="392"/>
      <c r="P109" s="394"/>
      <c r="Q109" s="76" t="s">
        <v>147</v>
      </c>
      <c r="R109" s="55">
        <v>0.1</v>
      </c>
      <c r="S109" s="55">
        <v>0</v>
      </c>
      <c r="T109" s="55">
        <v>0</v>
      </c>
      <c r="U109" s="202">
        <v>1</v>
      </c>
      <c r="V109" s="55"/>
      <c r="W109" s="153">
        <f t="shared" si="10"/>
        <v>0.1</v>
      </c>
      <c r="X109" s="85" t="s">
        <v>70</v>
      </c>
      <c r="Y109" s="210"/>
      <c r="Z109" s="76"/>
      <c r="AA109" s="290"/>
      <c r="AB109" s="351"/>
      <c r="AC109" s="131" t="s">
        <v>173</v>
      </c>
      <c r="AD109" s="54" t="s">
        <v>174</v>
      </c>
      <c r="AE109" s="66">
        <v>12300000</v>
      </c>
      <c r="AF109" s="87">
        <v>12300000</v>
      </c>
      <c r="AG109" s="87">
        <v>12300000</v>
      </c>
      <c r="AH109" s="99">
        <f>+AG109/AF109</f>
        <v>1</v>
      </c>
      <c r="AI109" s="87">
        <v>12300000</v>
      </c>
      <c r="AJ109" s="100">
        <f>+AI109/AF109</f>
        <v>1</v>
      </c>
      <c r="AK109" s="101" t="s">
        <v>176</v>
      </c>
      <c r="AL109" s="94" t="s">
        <v>177</v>
      </c>
      <c r="AM109" s="54"/>
    </row>
    <row r="110" spans="2:39" ht="68.45" customHeight="1" x14ac:dyDescent="0.2">
      <c r="B110" s="332"/>
      <c r="C110" s="331"/>
      <c r="D110" s="256"/>
      <c r="E110" s="331"/>
      <c r="F110" s="332"/>
      <c r="G110" s="247"/>
      <c r="H110" s="257"/>
      <c r="I110" s="247"/>
      <c r="J110" s="247"/>
      <c r="K110" s="247"/>
      <c r="L110" s="247"/>
      <c r="M110" s="247"/>
      <c r="N110" s="253"/>
      <c r="O110" s="392"/>
      <c r="P110" s="394"/>
      <c r="Q110" s="161" t="s">
        <v>148</v>
      </c>
      <c r="R110" s="163">
        <v>0.25</v>
      </c>
      <c r="S110" s="163">
        <v>9.0909090909090898E-2</v>
      </c>
      <c r="T110" s="168">
        <v>0.45</v>
      </c>
      <c r="U110" s="202">
        <v>0.3</v>
      </c>
      <c r="V110" s="168"/>
      <c r="W110" s="163">
        <f t="shared" si="10"/>
        <v>0.21022727272727271</v>
      </c>
      <c r="X110" s="85" t="s">
        <v>70</v>
      </c>
      <c r="Y110" s="210" t="s">
        <v>233</v>
      </c>
      <c r="Z110" s="76" t="s">
        <v>213</v>
      </c>
      <c r="AA110" s="290"/>
      <c r="AB110" s="351"/>
      <c r="AC110" s="129" t="s">
        <v>172</v>
      </c>
      <c r="AD110" s="54" t="s">
        <v>157</v>
      </c>
      <c r="AE110" s="66">
        <v>375497803</v>
      </c>
      <c r="AF110" s="87">
        <f>314000000+61497803</f>
        <v>375497803</v>
      </c>
      <c r="AG110" s="87">
        <v>250000000</v>
      </c>
      <c r="AH110" s="99">
        <f>+AG110/AF110</f>
        <v>0.66578285679077598</v>
      </c>
      <c r="AI110" s="143">
        <v>250000000</v>
      </c>
      <c r="AJ110" s="100">
        <f>+AI110/AF110</f>
        <v>0.66578285679077598</v>
      </c>
      <c r="AK110" s="101" t="s">
        <v>176</v>
      </c>
      <c r="AL110" s="94" t="s">
        <v>177</v>
      </c>
      <c r="AM110" s="54"/>
    </row>
    <row r="111" spans="2:39" ht="76.5" x14ac:dyDescent="0.2">
      <c r="B111" s="331"/>
      <c r="C111" s="53" t="s">
        <v>61</v>
      </c>
      <c r="D111" s="257"/>
      <c r="E111" s="53" t="s">
        <v>240</v>
      </c>
      <c r="F111" s="331"/>
      <c r="G111" s="54" t="s">
        <v>64</v>
      </c>
      <c r="H111" s="55">
        <v>0.2</v>
      </c>
      <c r="I111" s="54" t="s">
        <v>65</v>
      </c>
      <c r="J111" s="54">
        <v>4</v>
      </c>
      <c r="K111" s="54">
        <v>4</v>
      </c>
      <c r="L111" s="54" t="s">
        <v>67</v>
      </c>
      <c r="M111" s="54">
        <v>1</v>
      </c>
      <c r="N111" s="198">
        <f>+SUMPRODUCT(R111*W111)</f>
        <v>1</v>
      </c>
      <c r="O111" s="196">
        <f>+SUMPRODUCT(R111*U111)</f>
        <v>1</v>
      </c>
      <c r="P111" s="153">
        <f>+SUMPRODUCT(R111*W111)</f>
        <v>1</v>
      </c>
      <c r="Q111" s="136" t="s">
        <v>149</v>
      </c>
      <c r="R111" s="153">
        <v>1</v>
      </c>
      <c r="S111" s="153">
        <v>0</v>
      </c>
      <c r="T111" s="55">
        <v>0</v>
      </c>
      <c r="U111" s="202">
        <v>1</v>
      </c>
      <c r="V111" s="55"/>
      <c r="W111" s="153">
        <f t="shared" si="10"/>
        <v>1</v>
      </c>
      <c r="X111" s="85" t="s">
        <v>115</v>
      </c>
      <c r="Y111" s="210" t="s">
        <v>242</v>
      </c>
      <c r="Z111" s="76" t="s">
        <v>213</v>
      </c>
      <c r="AA111" s="290"/>
      <c r="AB111" s="351"/>
      <c r="AC111" s="131" t="s">
        <v>173</v>
      </c>
      <c r="AD111" s="54" t="s">
        <v>174</v>
      </c>
      <c r="AE111" s="66">
        <v>25000000</v>
      </c>
      <c r="AF111" s="87">
        <v>30000000</v>
      </c>
      <c r="AG111" s="87">
        <v>30000000</v>
      </c>
      <c r="AH111" s="110">
        <f>+AG111/AF111</f>
        <v>1</v>
      </c>
      <c r="AI111" s="87">
        <v>30000000</v>
      </c>
      <c r="AJ111" s="111">
        <f>+AI111/AF111</f>
        <v>1</v>
      </c>
      <c r="AK111" s="101" t="s">
        <v>176</v>
      </c>
      <c r="AL111" s="94" t="s">
        <v>177</v>
      </c>
      <c r="AM111" s="54"/>
    </row>
    <row r="112" spans="2:39" ht="30.75" customHeight="1" x14ac:dyDescent="0.2">
      <c r="O112" s="195">
        <f>AVERAGE(O9:O111)</f>
        <v>0.31302777777777779</v>
      </c>
      <c r="P112" s="112">
        <f>+AVERAGE(P9:P111)</f>
        <v>0.52053896464646465</v>
      </c>
      <c r="AE112" s="145">
        <f>+SUM(AE9:AE111)</f>
        <v>2407199875</v>
      </c>
      <c r="AF112" s="133">
        <f>+SUM(AF9:AF111)</f>
        <v>6711695358.8199997</v>
      </c>
      <c r="AG112" s="133">
        <f>+SUM(AG9:AG111)</f>
        <v>3501370749.48</v>
      </c>
      <c r="AH112" s="134">
        <f>+AVERAGE(AH9:AH111)</f>
        <v>0.74678760782499176</v>
      </c>
      <c r="AI112" s="133">
        <f>+SUM(AI9:AI111)</f>
        <v>3501370749.48</v>
      </c>
      <c r="AJ112" s="135">
        <f>+AVERAGE(AJ9:AJ111)</f>
        <v>0.74678760782499176</v>
      </c>
    </row>
    <row r="113" spans="31:34" x14ac:dyDescent="0.2">
      <c r="AE113" s="142">
        <f>+AE112-39000000</f>
        <v>2368199875</v>
      </c>
      <c r="AF113" s="27">
        <v>39000000</v>
      </c>
      <c r="AH113" s="71"/>
    </row>
    <row r="114" spans="31:34" x14ac:dyDescent="0.2">
      <c r="AE114" s="142">
        <f>+AE112-AE113</f>
        <v>39000000</v>
      </c>
      <c r="AF114" s="142">
        <f>+AF112-AF113</f>
        <v>6672695358.8199997</v>
      </c>
      <c r="AH114" s="71"/>
    </row>
    <row r="115" spans="31:34" x14ac:dyDescent="0.2">
      <c r="AF115" s="142"/>
      <c r="AH115" s="71"/>
    </row>
    <row r="116" spans="31:34" x14ac:dyDescent="0.2">
      <c r="AG116" s="142"/>
      <c r="AH116" s="71"/>
    </row>
    <row r="117" spans="31:34" x14ac:dyDescent="0.2">
      <c r="AG117" s="142"/>
      <c r="AH117" s="173"/>
    </row>
    <row r="118" spans="31:34" x14ac:dyDescent="0.2">
      <c r="AG118" s="172"/>
      <c r="AH118" s="71"/>
    </row>
    <row r="119" spans="31:34" x14ac:dyDescent="0.2">
      <c r="AG119" s="142"/>
      <c r="AH119" s="71"/>
    </row>
    <row r="120" spans="31:34" x14ac:dyDescent="0.2">
      <c r="AG120" s="142"/>
      <c r="AH120" s="71"/>
    </row>
  </sheetData>
  <autoFilter ref="A8:BH114"/>
  <mergeCells count="429">
    <mergeCell ref="W12:W13"/>
    <mergeCell ref="Q49:Q51"/>
    <mergeCell ref="R49:R51"/>
    <mergeCell ref="S49:S51"/>
    <mergeCell ref="W49:W51"/>
    <mergeCell ref="R47:R48"/>
    <mergeCell ref="S47:S48"/>
    <mergeCell ref="T47:T48"/>
    <mergeCell ref="U47:U48"/>
    <mergeCell ref="V47:V48"/>
    <mergeCell ref="W14:W15"/>
    <mergeCell ref="I90:I92"/>
    <mergeCell ref="M96:M98"/>
    <mergeCell ref="M99:M100"/>
    <mergeCell ref="X47:X48"/>
    <mergeCell ref="X12:X13"/>
    <mergeCell ref="Y12:Y13"/>
    <mergeCell ref="W47:W48"/>
    <mergeCell ref="W96:W98"/>
    <mergeCell ref="U49:U51"/>
    <mergeCell ref="V49:V51"/>
    <mergeCell ref="N69:N88"/>
    <mergeCell ref="O69:O88"/>
    <mergeCell ref="P69:P88"/>
    <mergeCell ref="I93:I94"/>
    <mergeCell ref="J93:J94"/>
    <mergeCell ref="K93:K94"/>
    <mergeCell ref="L93:L94"/>
    <mergeCell ref="J90:J92"/>
    <mergeCell ref="K90:K92"/>
    <mergeCell ref="Y96:Y98"/>
    <mergeCell ref="P28:P45"/>
    <mergeCell ref="Q47:Q48"/>
    <mergeCell ref="W87:W88"/>
    <mergeCell ref="Y10:Y11"/>
    <mergeCell ref="Y14:Y15"/>
    <mergeCell ref="Y83:Y84"/>
    <mergeCell ref="Y90:Y92"/>
    <mergeCell ref="Z10:Z11"/>
    <mergeCell ref="Z14:Z15"/>
    <mergeCell ref="Z83:Z84"/>
    <mergeCell ref="Z90:Z92"/>
    <mergeCell ref="Z24:Z25"/>
    <mergeCell ref="Y24:Y25"/>
    <mergeCell ref="Y78:Y81"/>
    <mergeCell ref="Y87:Y88"/>
    <mergeCell ref="Y49:Y51"/>
    <mergeCell ref="Z49:Z51"/>
    <mergeCell ref="Z47:Z48"/>
    <mergeCell ref="Y47:Y48"/>
    <mergeCell ref="Z57:Z58"/>
    <mergeCell ref="Y57:Y58"/>
    <mergeCell ref="AJ101:AJ106"/>
    <mergeCell ref="AH50:AH51"/>
    <mergeCell ref="AJ50:AJ51"/>
    <mergeCell ref="AI70:AI72"/>
    <mergeCell ref="AH70:AH72"/>
    <mergeCell ref="AJ70:AJ72"/>
    <mergeCell ref="AH87:AH88"/>
    <mergeCell ref="AJ87:AJ88"/>
    <mergeCell ref="AJ93:AJ94"/>
    <mergeCell ref="AH93:AH94"/>
    <mergeCell ref="AI101:AI106"/>
    <mergeCell ref="P18:P22"/>
    <mergeCell ref="N24:N25"/>
    <mergeCell ref="O24:O25"/>
    <mergeCell ref="P24:P25"/>
    <mergeCell ref="N28:N45"/>
    <mergeCell ref="O26:O27"/>
    <mergeCell ref="AD101:AD106"/>
    <mergeCell ref="AF101:AF106"/>
    <mergeCell ref="AA62:AA98"/>
    <mergeCell ref="AB62:AB98"/>
    <mergeCell ref="AC93:AC94"/>
    <mergeCell ref="AC70:AC72"/>
    <mergeCell ref="AD70:AD72"/>
    <mergeCell ref="AF70:AF72"/>
    <mergeCell ref="AE101:AE106"/>
    <mergeCell ref="Z78:Z81"/>
    <mergeCell ref="Z87:Z88"/>
    <mergeCell ref="X49:X51"/>
    <mergeCell ref="AC101:AC106"/>
    <mergeCell ref="T49:T51"/>
    <mergeCell ref="X90:X92"/>
    <mergeCell ref="W90:W92"/>
    <mergeCell ref="X57:X58"/>
    <mergeCell ref="W57:W58"/>
    <mergeCell ref="M101:M110"/>
    <mergeCell ref="M9:M17"/>
    <mergeCell ref="M18:M22"/>
    <mergeCell ref="M24:M25"/>
    <mergeCell ref="M28:M45"/>
    <mergeCell ref="M46:M61"/>
    <mergeCell ref="N101:N110"/>
    <mergeCell ref="O101:O110"/>
    <mergeCell ref="P101:P110"/>
    <mergeCell ref="N93:N94"/>
    <mergeCell ref="O93:O94"/>
    <mergeCell ref="P93:P94"/>
    <mergeCell ref="N96:N98"/>
    <mergeCell ref="O96:O98"/>
    <mergeCell ref="P96:P98"/>
    <mergeCell ref="N99:N100"/>
    <mergeCell ref="O99:O100"/>
    <mergeCell ref="P99:P100"/>
    <mergeCell ref="O28:O45"/>
    <mergeCell ref="N9:N17"/>
    <mergeCell ref="O9:O17"/>
    <mergeCell ref="P9:P17"/>
    <mergeCell ref="N18:N22"/>
    <mergeCell ref="O18:O22"/>
    <mergeCell ref="M93:M94"/>
    <mergeCell ref="M90:M92"/>
    <mergeCell ref="AM3:AM5"/>
    <mergeCell ref="M4:M5"/>
    <mergeCell ref="N4:N5"/>
    <mergeCell ref="O4:O5"/>
    <mergeCell ref="P4:P5"/>
    <mergeCell ref="AA4:AA5"/>
    <mergeCell ref="Q3:Q5"/>
    <mergeCell ref="R3:R5"/>
    <mergeCell ref="S3:V4"/>
    <mergeCell ref="X3:X5"/>
    <mergeCell ref="Y3:Y5"/>
    <mergeCell ref="Z3:Z5"/>
    <mergeCell ref="AA3:AB3"/>
    <mergeCell ref="AC3:AJ3"/>
    <mergeCell ref="AJ4:AJ5"/>
    <mergeCell ref="AB4:AB5"/>
    <mergeCell ref="AC4:AC5"/>
    <mergeCell ref="AD4:AD5"/>
    <mergeCell ref="AE4:AE5"/>
    <mergeCell ref="N90:N92"/>
    <mergeCell ref="O90:O92"/>
    <mergeCell ref="N46:N61"/>
    <mergeCell ref="AF4:AF5"/>
    <mergeCell ref="AG4:AG5"/>
    <mergeCell ref="AI4:AI5"/>
    <mergeCell ref="AH4:AH5"/>
    <mergeCell ref="D9:D17"/>
    <mergeCell ref="E9:E17"/>
    <mergeCell ref="F9:F17"/>
    <mergeCell ref="G9:G17"/>
    <mergeCell ref="C9:C17"/>
    <mergeCell ref="AA9:AA17"/>
    <mergeCell ref="AB9:AB17"/>
    <mergeCell ref="Q10:Q11"/>
    <mergeCell ref="L3:L5"/>
    <mergeCell ref="M3:P3"/>
    <mergeCell ref="X10:X11"/>
    <mergeCell ref="X14:X15"/>
    <mergeCell ref="W10:W11"/>
    <mergeCell ref="Z12:Z13"/>
    <mergeCell ref="Q12:Q13"/>
    <mergeCell ref="R12:R13"/>
    <mergeCell ref="S12:S13"/>
    <mergeCell ref="T12:T13"/>
    <mergeCell ref="U12:U13"/>
    <mergeCell ref="V12:V13"/>
    <mergeCell ref="B9:B111"/>
    <mergeCell ref="G3:G5"/>
    <mergeCell ref="AK3:AK5"/>
    <mergeCell ref="AL3:AL5"/>
    <mergeCell ref="B3:B5"/>
    <mergeCell ref="C3:C5"/>
    <mergeCell ref="D3:D5"/>
    <mergeCell ref="E3:E5"/>
    <mergeCell ref="F3:F5"/>
    <mergeCell ref="H3:H5"/>
    <mergeCell ref="AG101:AG106"/>
    <mergeCell ref="AH101:AH106"/>
    <mergeCell ref="AA99:AA111"/>
    <mergeCell ref="Z96:Z98"/>
    <mergeCell ref="AB99:AB111"/>
    <mergeCell ref="Z93:Z94"/>
    <mergeCell ref="I3:I5"/>
    <mergeCell ref="J3:J5"/>
    <mergeCell ref="K3:K5"/>
    <mergeCell ref="C26:C27"/>
    <mergeCell ref="D26:D61"/>
    <mergeCell ref="G26:G27"/>
    <mergeCell ref="C28:C45"/>
    <mergeCell ref="G28:G45"/>
    <mergeCell ref="F99:F111"/>
    <mergeCell ref="F62:F98"/>
    <mergeCell ref="E101:E110"/>
    <mergeCell ref="E63:E65"/>
    <mergeCell ref="C63:C65"/>
    <mergeCell ref="C46:C61"/>
    <mergeCell ref="G46:G61"/>
    <mergeCell ref="C18:C22"/>
    <mergeCell ref="D18:D25"/>
    <mergeCell ref="G18:G22"/>
    <mergeCell ref="C24:C25"/>
    <mergeCell ref="G24:G25"/>
    <mergeCell ref="E18:E22"/>
    <mergeCell ref="E24:E25"/>
    <mergeCell ref="E26:E27"/>
    <mergeCell ref="F26:F27"/>
    <mergeCell ref="E28:E45"/>
    <mergeCell ref="E46:E61"/>
    <mergeCell ref="F28:F61"/>
    <mergeCell ref="F18:F25"/>
    <mergeCell ref="H9:H17"/>
    <mergeCell ref="I9:I17"/>
    <mergeCell ref="J9:J17"/>
    <mergeCell ref="K9:K17"/>
    <mergeCell ref="L9:L17"/>
    <mergeCell ref="C99:C100"/>
    <mergeCell ref="D99:D111"/>
    <mergeCell ref="G99:G100"/>
    <mergeCell ref="C101:C110"/>
    <mergeCell ref="G101:G110"/>
    <mergeCell ref="D62:D98"/>
    <mergeCell ref="C69:C88"/>
    <mergeCell ref="G69:G88"/>
    <mergeCell ref="C93:C94"/>
    <mergeCell ref="G93:G94"/>
    <mergeCell ref="C96:C98"/>
    <mergeCell ref="G96:G98"/>
    <mergeCell ref="G90:G92"/>
    <mergeCell ref="C90:C92"/>
    <mergeCell ref="E69:E88"/>
    <mergeCell ref="E90:E92"/>
    <mergeCell ref="E93:E94"/>
    <mergeCell ref="E96:E98"/>
    <mergeCell ref="E99:E100"/>
    <mergeCell ref="H96:H98"/>
    <mergeCell ref="I96:I98"/>
    <mergeCell ref="J96:J98"/>
    <mergeCell ref="K96:K98"/>
    <mergeCell ref="L96:L98"/>
    <mergeCell ref="H93:H94"/>
    <mergeCell ref="H26:H27"/>
    <mergeCell ref="I26:I27"/>
    <mergeCell ref="H18:H22"/>
    <mergeCell ref="I18:I22"/>
    <mergeCell ref="J18:J22"/>
    <mergeCell ref="K18:K22"/>
    <mergeCell ref="L18:L22"/>
    <mergeCell ref="L69:L88"/>
    <mergeCell ref="L90:L92"/>
    <mergeCell ref="H101:H110"/>
    <mergeCell ref="I101:I110"/>
    <mergeCell ref="J101:J110"/>
    <mergeCell ref="K101:K110"/>
    <mergeCell ref="L101:L110"/>
    <mergeCell ref="H99:H100"/>
    <mergeCell ref="I99:I100"/>
    <mergeCell ref="J99:J100"/>
    <mergeCell ref="K99:K100"/>
    <mergeCell ref="L99:L100"/>
    <mergeCell ref="W83:W84"/>
    <mergeCell ref="X24:X25"/>
    <mergeCell ref="X78:X81"/>
    <mergeCell ref="H90:H92"/>
    <mergeCell ref="H24:H25"/>
    <mergeCell ref="I24:I25"/>
    <mergeCell ref="J24:J25"/>
    <mergeCell ref="K24:K25"/>
    <mergeCell ref="L24:L25"/>
    <mergeCell ref="M69:M88"/>
    <mergeCell ref="O46:O61"/>
    <mergeCell ref="P46:P61"/>
    <mergeCell ref="P26:P27"/>
    <mergeCell ref="V57:V58"/>
    <mergeCell ref="U57:U58"/>
    <mergeCell ref="T57:T58"/>
    <mergeCell ref="S57:S58"/>
    <mergeCell ref="R57:R58"/>
    <mergeCell ref="U93:U94"/>
    <mergeCell ref="V93:V94"/>
    <mergeCell ref="X93:X94"/>
    <mergeCell ref="Q96:Q98"/>
    <mergeCell ref="R96:R98"/>
    <mergeCell ref="S96:S98"/>
    <mergeCell ref="T96:T98"/>
    <mergeCell ref="U96:U98"/>
    <mergeCell ref="V96:V98"/>
    <mergeCell ref="X96:X98"/>
    <mergeCell ref="Q93:Q94"/>
    <mergeCell ref="R93:R94"/>
    <mergeCell ref="S93:S94"/>
    <mergeCell ref="T93:T94"/>
    <mergeCell ref="AM96:AM98"/>
    <mergeCell ref="AD93:AD94"/>
    <mergeCell ref="AL87:AL88"/>
    <mergeCell ref="AK87:AK88"/>
    <mergeCell ref="AL96:AL97"/>
    <mergeCell ref="AA18:AA25"/>
    <mergeCell ref="AB18:AB25"/>
    <mergeCell ref="AA26:AA61"/>
    <mergeCell ref="AB26:AB61"/>
    <mergeCell ref="AC36:AC45"/>
    <mergeCell ref="AC28:AC35"/>
    <mergeCell ref="AH36:AH45"/>
    <mergeCell ref="AM24:AM25"/>
    <mergeCell ref="AM50:AM51"/>
    <mergeCell ref="AM78:AM81"/>
    <mergeCell ref="AI87:AI88"/>
    <mergeCell ref="AE93:AE94"/>
    <mergeCell ref="AF93:AF94"/>
    <mergeCell ref="AG93:AG94"/>
    <mergeCell ref="AI93:AI94"/>
    <mergeCell ref="AC87:AC88"/>
    <mergeCell ref="AD87:AD88"/>
    <mergeCell ref="AE87:AE88"/>
    <mergeCell ref="AF87:AF88"/>
    <mergeCell ref="AG87:AG88"/>
    <mergeCell ref="AM87:AM88"/>
    <mergeCell ref="AM93:AM94"/>
    <mergeCell ref="AM103:AM105"/>
    <mergeCell ref="P90:P92"/>
    <mergeCell ref="AJ28:AJ35"/>
    <mergeCell ref="AJ36:AJ45"/>
    <mergeCell ref="AI28:AI35"/>
    <mergeCell ref="AI36:AI45"/>
    <mergeCell ref="Q83:Q84"/>
    <mergeCell ref="AC50:AC51"/>
    <mergeCell ref="AD50:AD51"/>
    <mergeCell ref="AE50:AE51"/>
    <mergeCell ref="AF50:AF51"/>
    <mergeCell ref="AG50:AG51"/>
    <mergeCell ref="AD28:AD35"/>
    <mergeCell ref="AD36:AD45"/>
    <mergeCell ref="AE28:AE35"/>
    <mergeCell ref="AE36:AE45"/>
    <mergeCell ref="AF28:AF35"/>
    <mergeCell ref="AF36:AF45"/>
    <mergeCell ref="AG28:AG35"/>
    <mergeCell ref="AG36:AG45"/>
    <mergeCell ref="AG70:AG72"/>
    <mergeCell ref="AH28:AH35"/>
    <mergeCell ref="AI50:AI51"/>
    <mergeCell ref="Y93:Y94"/>
    <mergeCell ref="H69:H88"/>
    <mergeCell ref="I69:I88"/>
    <mergeCell ref="J69:J88"/>
    <mergeCell ref="K69:K88"/>
    <mergeCell ref="AE70:AE72"/>
    <mergeCell ref="J26:J27"/>
    <mergeCell ref="K26:K27"/>
    <mergeCell ref="L26:L27"/>
    <mergeCell ref="M26:M27"/>
    <mergeCell ref="N26:N27"/>
    <mergeCell ref="H46:H61"/>
    <mergeCell ref="I46:I61"/>
    <mergeCell ref="J46:J61"/>
    <mergeCell ref="K46:K61"/>
    <mergeCell ref="L46:L61"/>
    <mergeCell ref="H28:H45"/>
    <mergeCell ref="I28:I45"/>
    <mergeCell ref="J28:J45"/>
    <mergeCell ref="K28:K45"/>
    <mergeCell ref="L28:L45"/>
    <mergeCell ref="T87:T88"/>
    <mergeCell ref="X87:X88"/>
    <mergeCell ref="R10:R11"/>
    <mergeCell ref="R14:R15"/>
    <mergeCell ref="R83:R84"/>
    <mergeCell ref="R90:R92"/>
    <mergeCell ref="S10:S11"/>
    <mergeCell ref="T10:T11"/>
    <mergeCell ref="U10:U11"/>
    <mergeCell ref="V10:V11"/>
    <mergeCell ref="S14:S15"/>
    <mergeCell ref="R78:R81"/>
    <mergeCell ref="S78:S81"/>
    <mergeCell ref="T78:T81"/>
    <mergeCell ref="S90:S92"/>
    <mergeCell ref="T90:T92"/>
    <mergeCell ref="U90:U92"/>
    <mergeCell ref="V90:V92"/>
    <mergeCell ref="X83:X84"/>
    <mergeCell ref="W24:W25"/>
    <mergeCell ref="S83:S84"/>
    <mergeCell ref="T83:T84"/>
    <mergeCell ref="U83:U84"/>
    <mergeCell ref="V83:V84"/>
    <mergeCell ref="W78:W81"/>
    <mergeCell ref="Q90:Q92"/>
    <mergeCell ref="Q14:Q15"/>
    <mergeCell ref="U78:U81"/>
    <mergeCell ref="V78:V81"/>
    <mergeCell ref="Q24:Q25"/>
    <mergeCell ref="R24:R25"/>
    <mergeCell ref="S24:S25"/>
    <mergeCell ref="T14:T15"/>
    <mergeCell ref="U14:U15"/>
    <mergeCell ref="R87:R88"/>
    <mergeCell ref="S87:S88"/>
    <mergeCell ref="V24:V25"/>
    <mergeCell ref="T24:T25"/>
    <mergeCell ref="U24:U25"/>
    <mergeCell ref="Q78:Q81"/>
    <mergeCell ref="Q87:Q88"/>
    <mergeCell ref="Q63:Q65"/>
    <mergeCell ref="Q57:Q58"/>
    <mergeCell ref="U87:U88"/>
    <mergeCell ref="V87:V88"/>
    <mergeCell ref="V14:V15"/>
    <mergeCell ref="P63:P65"/>
    <mergeCell ref="R63:R65"/>
    <mergeCell ref="Z63:Z65"/>
    <mergeCell ref="Y63:Y65"/>
    <mergeCell ref="X63:X65"/>
    <mergeCell ref="W63:W65"/>
    <mergeCell ref="V63:V65"/>
    <mergeCell ref="U63:U65"/>
    <mergeCell ref="T63:T65"/>
    <mergeCell ref="S63:S65"/>
    <mergeCell ref="O63:O65"/>
    <mergeCell ref="N63:N65"/>
    <mergeCell ref="M63:M65"/>
    <mergeCell ref="L63:L65"/>
    <mergeCell ref="K63:K65"/>
    <mergeCell ref="J63:J65"/>
    <mergeCell ref="I63:I65"/>
    <mergeCell ref="H63:H65"/>
    <mergeCell ref="G63:G65"/>
    <mergeCell ref="AK96:AK97"/>
    <mergeCell ref="AJ96:AJ97"/>
    <mergeCell ref="AI96:AI97"/>
    <mergeCell ref="AH96:AH97"/>
    <mergeCell ref="AG96:AG97"/>
    <mergeCell ref="AF96:AF97"/>
    <mergeCell ref="AE96:AE97"/>
    <mergeCell ref="AD96:AD97"/>
    <mergeCell ref="AC96:AC97"/>
  </mergeCells>
  <pageMargins left="0.7" right="0.7" top="0.75" bottom="0.75" header="0.3" footer="0.3"/>
  <pageSetup paperSize="5" scale="4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IMCY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 LOS ANGELES BURGOS</dc:creator>
  <cp:lastModifiedBy>Apoyo Planeacion</cp:lastModifiedBy>
  <cp:lastPrinted>2021-01-06T17:35:07Z</cp:lastPrinted>
  <dcterms:created xsi:type="dcterms:W3CDTF">2020-06-24T20:15:16Z</dcterms:created>
  <dcterms:modified xsi:type="dcterms:W3CDTF">2021-11-05T23:18:52Z</dcterms:modified>
</cp:coreProperties>
</file>