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iom\Desktop\Alcaldia\SEGUIMIENTO PLAN DE DESARROLLO 2021\2do trimestre IMCY\"/>
    </mc:Choice>
  </mc:AlternateContent>
  <bookViews>
    <workbookView xWindow="0" yWindow="0" windowWidth="20490" windowHeight="5925"/>
  </bookViews>
  <sheets>
    <sheet name="FORMATO PLAN DE ACCIÓN" sheetId="25" r:id="rId1"/>
    <sheet name="Hoja1" sheetId="27" r:id="rId2"/>
    <sheet name="MODELO PLAN IINDICATIVO " sheetId="26" r:id="rId3"/>
  </sheets>
  <externalReferences>
    <externalReference r:id="rId4"/>
  </externalReferences>
  <definedNames>
    <definedName name="_xlnm._FilterDatabase" localSheetId="0" hidden="1">'FORMATO PLAN DE ACCIÓN'!$A$8:$BK$107</definedName>
    <definedName name="_xlnm._FilterDatabase" localSheetId="2" hidden="1">'MODELO PLAN IINDICATIVO '!$B$11:$Y$447</definedName>
    <definedName name="Conceptos_MOD" localSheetId="0">[1]Gastos_Inversión_2012!#REF!</definedName>
    <definedName name="Conceptos_MOD">[1]Gastos_Inversión_2012!#REF!</definedName>
    <definedName name="ESTRATREGICOS" localSheetId="0">#REF!</definedName>
    <definedName name="ESTRATREGICOS">#REF!</definedName>
    <definedName name="MUNICIPIOS_CHIP" localSheetId="0">#REF!</definedName>
    <definedName name="MUNICIPIOS_CHIP">#REF!</definedName>
    <definedName name="SSSS" localSheetId="0">#REF!</definedName>
    <definedName name="SSSS">#REF!</definedName>
    <definedName name="XXX" localSheetId="0">#REF!</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6" i="25" l="1"/>
  <c r="O46" i="25"/>
  <c r="O28" i="25"/>
  <c r="O26" i="25"/>
  <c r="O24" i="25"/>
  <c r="O23" i="25"/>
  <c r="O18" i="25"/>
  <c r="D3" i="27"/>
  <c r="D4" i="27"/>
  <c r="D5" i="27"/>
  <c r="D6" i="27"/>
  <c r="D7" i="27"/>
  <c r="D8" i="27"/>
  <c r="D9" i="27"/>
  <c r="D10" i="27"/>
  <c r="D2" i="27"/>
  <c r="O9" i="25"/>
  <c r="Z12" i="25" l="1"/>
  <c r="AM87" i="25"/>
  <c r="AK87" i="25"/>
  <c r="AM12" i="25"/>
  <c r="AM76" i="25"/>
  <c r="AK76" i="25"/>
  <c r="AK12" i="25"/>
  <c r="AM49" i="25"/>
  <c r="AM47" i="25"/>
  <c r="AK47" i="25"/>
  <c r="AK49" i="25"/>
  <c r="W46" i="25"/>
  <c r="AI36" i="25" l="1"/>
  <c r="AJ28" i="25"/>
  <c r="AJ26" i="25"/>
  <c r="AJ50" i="25"/>
  <c r="AJ48" i="25"/>
  <c r="AM10" i="25"/>
  <c r="AJ75" i="25"/>
  <c r="AI63" i="25"/>
  <c r="AJ79" i="25"/>
  <c r="AJ67" i="25"/>
  <c r="AI62" i="25"/>
  <c r="AH62" i="25"/>
  <c r="Z82" i="25"/>
  <c r="Z81" i="25"/>
  <c r="Z79" i="25"/>
  <c r="Z78" i="25"/>
  <c r="Z75" i="25"/>
  <c r="W95" i="25"/>
  <c r="X95" i="25"/>
  <c r="Y95" i="25"/>
  <c r="V95" i="25"/>
  <c r="Z96" i="25"/>
  <c r="Z107" i="25"/>
  <c r="Z106" i="25"/>
  <c r="Z105" i="25"/>
  <c r="Z104" i="25"/>
  <c r="Z103" i="25"/>
  <c r="Z102" i="25"/>
  <c r="Z101" i="25"/>
  <c r="W100" i="25"/>
  <c r="V100" i="25"/>
  <c r="X100" i="25"/>
  <c r="Y100" i="25"/>
  <c r="Z100" i="25" l="1"/>
  <c r="Z95" i="25"/>
  <c r="S95" i="25" s="1"/>
  <c r="W74" i="25"/>
  <c r="V74" i="25"/>
  <c r="X74" i="25"/>
  <c r="Z83" i="25"/>
  <c r="Y66" i="25"/>
  <c r="X66" i="25"/>
  <c r="V66" i="25"/>
  <c r="W66" i="25"/>
  <c r="O65" i="25"/>
  <c r="O86" i="25"/>
  <c r="O107" i="25"/>
  <c r="Z73" i="25"/>
  <c r="Z72" i="25"/>
  <c r="Z71" i="25"/>
  <c r="Z70" i="25"/>
  <c r="Z69" i="25"/>
  <c r="Z68" i="25"/>
  <c r="Z67" i="25"/>
  <c r="Z86" i="25"/>
  <c r="S86" i="25" s="1"/>
  <c r="Z92" i="25"/>
  <c r="N92" i="25" s="1"/>
  <c r="N107" i="25"/>
  <c r="Z99" i="25"/>
  <c r="Z98" i="25"/>
  <c r="Z65" i="25"/>
  <c r="S65" i="25" s="1"/>
  <c r="Z64" i="25"/>
  <c r="N64" i="25" s="1"/>
  <c r="Z63" i="25"/>
  <c r="N63" i="25" s="1"/>
  <c r="Z62" i="25"/>
  <c r="N62" i="25" s="1"/>
  <c r="Z61" i="25"/>
  <c r="N61" i="25" s="1"/>
  <c r="Z60" i="25"/>
  <c r="Z59" i="25"/>
  <c r="Z58" i="25"/>
  <c r="Z57" i="25"/>
  <c r="Z55" i="25"/>
  <c r="Z54" i="25"/>
  <c r="Z53" i="25"/>
  <c r="Z49" i="25"/>
  <c r="Z47" i="25"/>
  <c r="Z45" i="25"/>
  <c r="Z44" i="25"/>
  <c r="Z43" i="25"/>
  <c r="Z42" i="25"/>
  <c r="Z41" i="25"/>
  <c r="Z40" i="25"/>
  <c r="Z39" i="25"/>
  <c r="Z38" i="25"/>
  <c r="Z37" i="25"/>
  <c r="Z36" i="25"/>
  <c r="Z35" i="25"/>
  <c r="Z34" i="25"/>
  <c r="Z33" i="25"/>
  <c r="Z32" i="25"/>
  <c r="Z31" i="25"/>
  <c r="Z30" i="25"/>
  <c r="Z29" i="25"/>
  <c r="Z28" i="25"/>
  <c r="Z27" i="25"/>
  <c r="Z26" i="25"/>
  <c r="Z24" i="25"/>
  <c r="N24" i="25" s="1"/>
  <c r="Z23" i="25"/>
  <c r="S23" i="25" s="1"/>
  <c r="Z22" i="25"/>
  <c r="Z21" i="25"/>
  <c r="Z20" i="25"/>
  <c r="Z19" i="25"/>
  <c r="Z18" i="25"/>
  <c r="Z17" i="25"/>
  <c r="Z16" i="25"/>
  <c r="Z14" i="25"/>
  <c r="Z10" i="25"/>
  <c r="Z9" i="25"/>
  <c r="W97" i="25"/>
  <c r="N95" i="25"/>
  <c r="O95" i="25"/>
  <c r="O92" i="25"/>
  <c r="W56" i="25"/>
  <c r="W52" i="25"/>
  <c r="S26" i="25" l="1"/>
  <c r="N86" i="25"/>
  <c r="S92" i="25"/>
  <c r="N28" i="25"/>
  <c r="S28" i="25"/>
  <c r="N26" i="25"/>
  <c r="N65" i="25"/>
  <c r="S107" i="25"/>
  <c r="O97" i="25"/>
  <c r="Z66" i="25"/>
  <c r="S18" i="25" l="1"/>
  <c r="N18" i="25"/>
  <c r="S9" i="25" l="1"/>
  <c r="N9" i="25"/>
  <c r="O64" i="25"/>
  <c r="O63" i="25"/>
  <c r="O62" i="25"/>
  <c r="O61" i="25"/>
  <c r="S64" i="25"/>
  <c r="S63" i="25"/>
  <c r="S62" i="25"/>
  <c r="S61" i="25"/>
  <c r="Y56" i="25"/>
  <c r="X56" i="25"/>
  <c r="V56" i="25"/>
  <c r="Y52" i="25"/>
  <c r="X52" i="25"/>
  <c r="V52" i="25"/>
  <c r="Y46" i="25"/>
  <c r="X46" i="25"/>
  <c r="V46" i="25"/>
  <c r="S24" i="25"/>
  <c r="Z52" i="25" l="1"/>
  <c r="Z56" i="25"/>
  <c r="Z46" i="25"/>
  <c r="N23" i="25"/>
  <c r="N46" i="25" l="1"/>
  <c r="S46" i="25"/>
  <c r="X221" i="26"/>
  <c r="Y221" i="26" s="1"/>
  <c r="X220" i="26"/>
  <c r="V220" i="26"/>
  <c r="T220" i="26"/>
  <c r="X219" i="26"/>
  <c r="V219" i="26"/>
  <c r="R219" i="26"/>
  <c r="V218" i="26"/>
  <c r="R218" i="26"/>
  <c r="R217" i="26"/>
  <c r="Y217" i="26" s="1"/>
  <c r="Y216" i="26"/>
  <c r="Y215" i="26"/>
  <c r="Y214" i="26"/>
  <c r="T213" i="26"/>
  <c r="Y213" i="26" s="1"/>
  <c r="Y212" i="26"/>
  <c r="Y211" i="26"/>
  <c r="Y210" i="26"/>
  <c r="X209" i="26"/>
  <c r="V209" i="26"/>
  <c r="T209" i="26"/>
  <c r="X208" i="26"/>
  <c r="V208" i="26"/>
  <c r="T208" i="26"/>
  <c r="R208" i="26"/>
  <c r="X207" i="26"/>
  <c r="V207" i="26"/>
  <c r="Y207" i="26" s="1"/>
  <c r="Y206" i="26"/>
  <c r="Y205" i="26"/>
  <c r="X205" i="26"/>
  <c r="X204" i="26"/>
  <c r="V204" i="26"/>
  <c r="T204" i="26"/>
  <c r="R204" i="26"/>
  <c r="Y203" i="26"/>
  <c r="Y202" i="26"/>
  <c r="X201" i="26"/>
  <c r="Y201" i="26" s="1"/>
  <c r="X200" i="26"/>
  <c r="Y200" i="26" s="1"/>
  <c r="V199" i="26"/>
  <c r="R199" i="26"/>
  <c r="Y198" i="26"/>
  <c r="R198" i="26"/>
  <c r="T197" i="26"/>
  <c r="Y197" i="26" s="1"/>
  <c r="Y196" i="26"/>
  <c r="V195" i="26"/>
  <c r="Y195" i="26" s="1"/>
  <c r="V194" i="26"/>
  <c r="T194" i="26"/>
  <c r="Y194" i="26" l="1"/>
  <c r="Y218" i="26"/>
  <c r="Y220" i="26"/>
  <c r="Y199" i="26"/>
  <c r="Y209" i="26"/>
  <c r="Y208" i="26"/>
  <c r="Y204" i="26"/>
  <c r="Y219" i="26"/>
  <c r="AH108" i="25" l="1"/>
  <c r="AH109" i="25" l="1"/>
  <c r="V97" i="25" l="1"/>
  <c r="Z97" i="25" s="1"/>
  <c r="S97" i="25" l="1"/>
  <c r="N97" i="25"/>
  <c r="AM11" i="25"/>
  <c r="AK11" i="25"/>
  <c r="AL108" i="25"/>
  <c r="AK77" i="25"/>
  <c r="AM70" i="25"/>
  <c r="AK70" i="25"/>
  <c r="AK71" i="25"/>
  <c r="AK72" i="25"/>
  <c r="AI106" i="25"/>
  <c r="AM86" i="25"/>
  <c r="AK86" i="25"/>
  <c r="AM79" i="25" l="1"/>
  <c r="AM80" i="25"/>
  <c r="AK79" i="25"/>
  <c r="AJ108" i="25" l="1"/>
  <c r="AM36" i="25"/>
  <c r="AI58" i="25"/>
  <c r="AI108" i="25" s="1"/>
  <c r="AI110" i="25" s="1"/>
  <c r="AK28" i="25"/>
  <c r="AK36" i="25" l="1"/>
  <c r="AM13" i="25" l="1"/>
  <c r="AM14" i="25"/>
  <c r="AM15" i="25"/>
  <c r="AM16" i="25"/>
  <c r="AM17" i="25"/>
  <c r="AM18" i="25"/>
  <c r="AM19" i="25"/>
  <c r="AM20" i="25"/>
  <c r="AM21" i="25"/>
  <c r="AM22" i="25"/>
  <c r="AM23" i="25"/>
  <c r="AM24" i="25"/>
  <c r="AM25" i="25"/>
  <c r="AM26" i="25"/>
  <c r="AM28" i="25"/>
  <c r="AM48" i="25"/>
  <c r="AM50" i="25"/>
  <c r="AM53" i="25"/>
  <c r="AM55" i="25"/>
  <c r="AM57" i="25"/>
  <c r="AM58" i="25"/>
  <c r="AM59" i="25"/>
  <c r="AM60" i="25"/>
  <c r="AM61" i="25"/>
  <c r="AM62" i="25"/>
  <c r="AM63" i="25"/>
  <c r="AM64" i="25"/>
  <c r="AM65" i="25"/>
  <c r="AM67" i="25"/>
  <c r="AM71" i="25"/>
  <c r="AM72" i="25"/>
  <c r="AM73" i="25"/>
  <c r="AM75" i="25"/>
  <c r="AM77" i="25"/>
  <c r="AM78" i="25"/>
  <c r="AM81" i="25"/>
  <c r="AM82" i="25"/>
  <c r="AM83" i="25"/>
  <c r="AM88" i="25"/>
  <c r="AM96" i="25"/>
  <c r="AM97" i="25"/>
  <c r="AM103" i="25"/>
  <c r="AM105" i="25"/>
  <c r="AM106" i="25"/>
  <c r="AM107" i="25"/>
  <c r="AK10" i="25"/>
  <c r="AK13" i="25"/>
  <c r="AK14" i="25"/>
  <c r="AK15" i="25"/>
  <c r="AK16" i="25"/>
  <c r="AK17" i="25"/>
  <c r="AK18" i="25"/>
  <c r="AK19" i="25"/>
  <c r="AK20" i="25"/>
  <c r="AK21" i="25"/>
  <c r="AK22" i="25"/>
  <c r="AK23" i="25"/>
  <c r="AK24" i="25"/>
  <c r="AK25" i="25"/>
  <c r="AK26" i="25"/>
  <c r="AK48" i="25"/>
  <c r="AK50" i="25"/>
  <c r="AK53" i="25"/>
  <c r="AK55" i="25"/>
  <c r="AK57" i="25"/>
  <c r="AK58" i="25"/>
  <c r="AK59" i="25"/>
  <c r="AK60" i="25"/>
  <c r="AK61" i="25"/>
  <c r="AK62" i="25"/>
  <c r="AK63" i="25"/>
  <c r="AK64" i="25"/>
  <c r="AK65" i="25"/>
  <c r="AK67" i="25"/>
  <c r="AK73" i="25"/>
  <c r="AK75" i="25"/>
  <c r="AK78" i="25"/>
  <c r="AK80" i="25"/>
  <c r="AK81" i="25"/>
  <c r="AK82" i="25"/>
  <c r="AK83" i="25"/>
  <c r="AK88" i="25"/>
  <c r="AK96" i="25"/>
  <c r="AK97" i="25"/>
  <c r="AK103" i="25"/>
  <c r="AK105" i="25"/>
  <c r="AK106" i="25"/>
  <c r="AK107" i="25"/>
  <c r="AM9" i="25"/>
  <c r="AK9" i="25"/>
  <c r="AM108" i="25" l="1"/>
  <c r="AK108" i="25"/>
  <c r="Y74" i="25"/>
  <c r="Z74" i="25" s="1"/>
  <c r="N66" i="25" l="1"/>
  <c r="S66" i="25"/>
  <c r="S108" i="25" s="1"/>
</calcChain>
</file>

<file path=xl/comments1.xml><?xml version="1.0" encoding="utf-8"?>
<comments xmlns="http://schemas.openxmlformats.org/spreadsheetml/2006/main">
  <authors>
    <author>JUAN FELIPE SALCEDO</author>
    <author>Windows 10</author>
  </authors>
  <commentList>
    <comment ref="AK4" authorId="0" shapeId="0">
      <text>
        <r>
          <rPr>
            <b/>
            <sz val="9"/>
            <color indexed="81"/>
            <rFont val="Tahoma"/>
            <family val="2"/>
          </rPr>
          <t>JUAN FELIPE SALCEDO:</t>
        </r>
        <r>
          <rPr>
            <sz val="9"/>
            <color indexed="81"/>
            <rFont val="Tahoma"/>
            <family val="2"/>
          </rPr>
          <t xml:space="preserve">
Formula: Apropiacion definitiva / Registros acumulados</t>
        </r>
      </text>
    </comment>
    <comment ref="AM4" authorId="0" shapeId="0">
      <text>
        <r>
          <rPr>
            <b/>
            <sz val="9"/>
            <color indexed="81"/>
            <rFont val="Tahoma"/>
            <family val="2"/>
          </rPr>
          <t>JUAN FELIPE SALCEDO:</t>
        </r>
        <r>
          <rPr>
            <sz val="9"/>
            <color indexed="81"/>
            <rFont val="Tahoma"/>
            <family val="2"/>
          </rPr>
          <t xml:space="preserve">
Apropiacion definitiva/pagos acumulados</t>
        </r>
      </text>
    </comment>
    <comment ref="O28" authorId="1" shapeId="0">
      <text>
        <r>
          <rPr>
            <b/>
            <sz val="9"/>
            <color indexed="81"/>
            <rFont val="Tahoma"/>
            <family val="2"/>
          </rPr>
          <t>REVISAR FORMULA</t>
        </r>
        <r>
          <rPr>
            <sz val="9"/>
            <color indexed="81"/>
            <rFont val="Tahoma"/>
            <family val="2"/>
          </rPr>
          <t xml:space="preserve">
</t>
        </r>
      </text>
    </comment>
    <comment ref="AH57" authorId="1" shapeId="0">
      <text>
        <r>
          <rPr>
            <sz val="9"/>
            <color indexed="81"/>
            <rFont val="Tahoma"/>
            <family val="2"/>
          </rPr>
          <t xml:space="preserve">Tambien esta relacionado en el reporte de gasto como apropiación inicial.
</t>
        </r>
      </text>
    </comment>
    <comment ref="G86" authorId="1" shapeId="0">
      <text>
        <r>
          <rPr>
            <sz val="14"/>
            <color indexed="81"/>
            <rFont val="Tahoma"/>
            <family val="2"/>
          </rPr>
          <t xml:space="preserve"> LA META NO SE ENCUENTRA PROGRAMANA PARA EL 2021</t>
        </r>
        <r>
          <rPr>
            <b/>
            <sz val="9"/>
            <color indexed="81"/>
            <rFont val="Tahoma"/>
            <family val="2"/>
          </rPr>
          <t xml:space="preserve">
R/ Se programa ya que en el 2020 no se logra ejecutar, es por ello que para el 2021 se reprograma.</t>
        </r>
      </text>
    </comment>
    <comment ref="M86" authorId="0" shapeId="0">
      <text>
        <r>
          <rPr>
            <b/>
            <sz val="9"/>
            <color indexed="81"/>
            <rFont val="Tahoma"/>
            <family val="2"/>
          </rPr>
          <t>JUAN FELIPE SALCEDO:</t>
        </r>
        <r>
          <rPr>
            <sz val="9"/>
            <color indexed="81"/>
            <rFont val="Tahoma"/>
            <family val="2"/>
          </rPr>
          <t xml:space="preserve">
no se cumplio en el 2020, por ello s eprograma para el 2021
</t>
        </r>
      </text>
    </comment>
    <comment ref="AL96" authorId="1" shapeId="0">
      <text>
        <r>
          <rPr>
            <b/>
            <sz val="9"/>
            <color indexed="81"/>
            <rFont val="Tahoma"/>
            <family val="2"/>
          </rPr>
          <t>VERIFICAR VALORES!!</t>
        </r>
        <r>
          <rPr>
            <sz val="9"/>
            <color indexed="81"/>
            <rFont val="Tahoma"/>
            <family val="2"/>
          </rPr>
          <t xml:space="preserve">
</t>
        </r>
      </text>
    </comment>
    <comment ref="V100" authorId="1" shapeId="0">
      <text>
        <r>
          <rPr>
            <b/>
            <sz val="9"/>
            <color indexed="81"/>
            <rFont val="Tahoma"/>
            <family val="2"/>
          </rPr>
          <t>Windows 10:</t>
        </r>
        <r>
          <rPr>
            <sz val="9"/>
            <color indexed="81"/>
            <rFont val="Tahoma"/>
            <family val="2"/>
          </rPr>
          <t xml:space="preserve">
promedio  me da 4%
R/ El promedio es sobre el avance de la ponderacion. E spor ello qure no la sumatoria de solo subrayar no te genera el promedio real.</t>
        </r>
      </text>
    </comment>
  </commentList>
</comments>
</file>

<file path=xl/sharedStrings.xml><?xml version="1.0" encoding="utf-8"?>
<sst xmlns="http://schemas.openxmlformats.org/spreadsheetml/2006/main" count="3520" uniqueCount="833">
  <si>
    <t>EJE</t>
  </si>
  <si>
    <t>PROGRAMA</t>
  </si>
  <si>
    <t xml:space="preserve">SUBPROGRAMA </t>
  </si>
  <si>
    <t>Unidad de Medición</t>
  </si>
  <si>
    <t xml:space="preserve">Línea Base </t>
  </si>
  <si>
    <t>Meta Plan</t>
  </si>
  <si>
    <t>VIGENCIA:</t>
  </si>
  <si>
    <t>PLAN DE ACCION DEL SECTOR:</t>
  </si>
  <si>
    <t>Pond %</t>
  </si>
  <si>
    <t>INDICADOR</t>
  </si>
  <si>
    <t>TIPO DE META Incremento, Reducción o Mantenimiento</t>
  </si>
  <si>
    <t>PROGRAMACIÓN/EJECUCIÓN</t>
  </si>
  <si>
    <t>PROGRAMACION META</t>
  </si>
  <si>
    <t>AVANCE TRIMESTRAL DE ACTIVIDAD</t>
  </si>
  <si>
    <t>FECHA TERMINACIÓN DE LA ACTIVIDAD</t>
  </si>
  <si>
    <t xml:space="preserve">DESCRIPCIÓN DE EJECUCÍON </t>
  </si>
  <si>
    <t>MEDIOS DE VERIFICACIÓN</t>
  </si>
  <si>
    <t>PROYECTO</t>
  </si>
  <si>
    <t>RECURSOS</t>
  </si>
  <si>
    <t xml:space="preserve">SECRETARIA RESPONSABLE </t>
  </si>
  <si>
    <t>FUNCIONARIO (S) RESPONSABLE (S)</t>
  </si>
  <si>
    <t>OBSERVACIONES</t>
  </si>
  <si>
    <t>% DE EJECUCION TOTAL</t>
  </si>
  <si>
    <t>NOMBRE DE PROYECTO</t>
  </si>
  <si>
    <t>VIABILIADAD</t>
  </si>
  <si>
    <t>CODIGO</t>
  </si>
  <si>
    <t>NOMBRE</t>
  </si>
  <si>
    <t>APROPIACION INICIAL</t>
  </si>
  <si>
    <t>%</t>
  </si>
  <si>
    <t>Trim I</t>
  </si>
  <si>
    <t>Trim II</t>
  </si>
  <si>
    <t>Trim III</t>
  </si>
  <si>
    <t>Trim IV</t>
  </si>
  <si>
    <t>FILTROS</t>
  </si>
  <si>
    <t xml:space="preserve"> </t>
  </si>
  <si>
    <t>BIENESTAR SOCIAL</t>
  </si>
  <si>
    <t>PAGOS ACUMULADOS</t>
  </si>
  <si>
    <t>CANTIDAD PROGRAMADA 2021</t>
  </si>
  <si>
    <t>AVANCE REAL 2021</t>
  </si>
  <si>
    <t>YUMBO EDUCADO</t>
  </si>
  <si>
    <t>Creemos en la infraestructura artística y cultural de Yumbo</t>
  </si>
  <si>
    <t>Número de equipamientos artísticos y culturales, mejorados y dotados.</t>
  </si>
  <si>
    <t>Número de equipamientos artísticos y culturales, construidos.</t>
  </si>
  <si>
    <t>Creemos en un territorio de conservación y salvaguardia del patrimonio cultural de Yumbo</t>
  </si>
  <si>
    <t>Jornadas de Promoción del Patrimonio material e inmaterial, desarrolladas.</t>
  </si>
  <si>
    <t>Número de Instituciones educativas públicas, con socialización de la Ley de gestión, protección y salvaguarda del patrimonio cultural.</t>
  </si>
  <si>
    <t>Número de procesos de formación patrimonial, desarrollados.</t>
  </si>
  <si>
    <t>Creemos en la formación y capacitación artística y cultural de los Yumbeños</t>
  </si>
  <si>
    <t xml:space="preserve">Número de programas de formación técnica laboral de la escuela de artes integradas, creados. </t>
  </si>
  <si>
    <t xml:space="preserve">Número de talleres de formación artística, desarrollados. </t>
  </si>
  <si>
    <t xml:space="preserve">Número de procesos de fortalecimiento y promoción artística y cultural, implementados. </t>
  </si>
  <si>
    <t>Creemos en el fomento y la difusión artística y cultural para los Yumbeños</t>
  </si>
  <si>
    <t>Número de Encuentros Nacionales de Danzas, realizados.</t>
  </si>
  <si>
    <t xml:space="preserve">Número de Encuentros Nacionales de Intérpretes de Música Colombiana, realizados.  </t>
  </si>
  <si>
    <t>Número Encuentros Nacionales de Teatro, realizados.</t>
  </si>
  <si>
    <t>Número Encuentros de Bandas Músico Marciales, realizados.</t>
  </si>
  <si>
    <t>Número Estímulos para fomentar la economía naranja, otorgados.</t>
  </si>
  <si>
    <t>Número Programas con enfoque poblacional para la promoción, circulación artística y cultural, implementados.</t>
  </si>
  <si>
    <t>Plan Decenal de Cultura, actualizado.</t>
  </si>
  <si>
    <t>Número de Planes de economía naranja con enfoque territorial y poblacional, formulados e implementados.</t>
  </si>
  <si>
    <t>Número de Consejos municipales de Cultura, conformados.</t>
  </si>
  <si>
    <t>Convenio de cooperación internacional para el desarrollo y la promoción del talento cultural, implementado.</t>
  </si>
  <si>
    <t>Convocatoria de estímulos para la promoción de la creación artística y cultural, realizada.</t>
  </si>
  <si>
    <t>Creemos en espacios para el desarrollo de la creatividad: Bibliotecas y espacios para el crecimiento de los Yumbeños</t>
  </si>
  <si>
    <t>Servicios mejorados en las bibliotecas públicas encaminadas al programa nacional "Leer es mi cuento".</t>
  </si>
  <si>
    <t>Número de procesos de descentralización para fortalecer hábitos de lectura y escritura, desarrollados.</t>
  </si>
  <si>
    <t>Número de Concursos Municipales de Cuento Literario, desarrollados.</t>
  </si>
  <si>
    <t>Número</t>
  </si>
  <si>
    <t>MM</t>
  </si>
  <si>
    <t>MI</t>
  </si>
  <si>
    <t>N/A</t>
  </si>
  <si>
    <t>Realizar 3 mantenimiento preventivo y/o correctivo al sistema de aires acondicionados a crago del IMCY</t>
  </si>
  <si>
    <t>Diciembre</t>
  </si>
  <si>
    <t xml:space="preserve"> Adecuaciones del  1,  2 y 3 piso del edificio humedades, pintura y necesidades sanitarias.</t>
  </si>
  <si>
    <t>Enecrramiento del centro cultural de Yumbo</t>
  </si>
  <si>
    <t>Mejoramiento del desempeño de las  Redes de Telecomunicaciones  del IMCY</t>
  </si>
  <si>
    <t>Mejorar la vigilancia y monitoreo de la entidad mediante camaras de seguridad. Centro cultural</t>
  </si>
  <si>
    <t xml:space="preserve">Noviembre </t>
  </si>
  <si>
    <t>Desarrollar 1 actividad para la celebracion del mes del patrimonio. " 5ta Feria del patrimonio Yumbo"</t>
  </si>
  <si>
    <t>Realizar 1 Festival gostpel en el marco de la Semana Santa IMCY-2021 ()</t>
  </si>
  <si>
    <t>Realizar 1 actividad de conmemoracion del 20 de Julio</t>
  </si>
  <si>
    <t>Realizar 4 jornadas de sensibilización y promoción de museos, con el fin de unir lazos ancestrales y recuperar el tejido social del Municipio de Yumbo.</t>
  </si>
  <si>
    <t>Realizar 1 actividad de conmemoracion del 7 agosto.</t>
  </si>
  <si>
    <t>Agosto</t>
  </si>
  <si>
    <t>Realizar 13 actividades para la socializacion de la ley de gestion, proteccion y salvaguardia del patrimonio cultural En las instituciones educativas.</t>
  </si>
  <si>
    <t>Realizar 5 Procesos de capacitacion  sobre el patrimonio Cultural del Municipio de Yumbo con enfoque poblacional.</t>
  </si>
  <si>
    <t xml:space="preserve">Brindar apoyo institucional en el fortalecimiento y desarrollo de la formación tecnica laboral en interprentacion instrumental de la escuela de artes integradas. </t>
  </si>
  <si>
    <t>Desarrolla  1 programa tecnico laboral en Danza Contemporánea</t>
  </si>
  <si>
    <t>1. Desarrollar 2 Talleres Anual de Danza folclorica</t>
  </si>
  <si>
    <t>2. Desarrollar 2 Talleres anuales de Moderna</t>
  </si>
  <si>
    <t>3. Desarrollar 2 Talleres anuales de Percusion Antillana</t>
  </si>
  <si>
    <t>4. Desarrollar 2 Talleres anuales de Bateria</t>
  </si>
  <si>
    <t>5. Desarrollar 2 Talleres anuales de Flauta</t>
  </si>
  <si>
    <t>6. Desarrollar 2 Talleres anuales de Tecnica Vocal</t>
  </si>
  <si>
    <t>7. Desarrollar 2 Talleres anuales de Guitarra</t>
  </si>
  <si>
    <t>8. Desarrollar 2 Talleres anuales de Bajo</t>
  </si>
  <si>
    <t>9. Desarrollar 2 Talleres anuales de Trompeta</t>
  </si>
  <si>
    <t>10. Desarrollar 2 Talleres anuales de Saxofon y clarinete</t>
  </si>
  <si>
    <t>11. Desarrollar 2 Talleres anuales de Teatro</t>
  </si>
  <si>
    <t>12. Desarrollar 2 Talleres anuales de Organeta</t>
  </si>
  <si>
    <t>13. Desarrollar 2 Talleres anuales de Dibujo y Pintura</t>
  </si>
  <si>
    <t>14. Desarrollar 2 Talleres anuales de Violin</t>
  </si>
  <si>
    <t>15. Desarrollar 2 Talleres anuales de Preballet</t>
  </si>
  <si>
    <t>16. Desarrollar 2 Talleres anuales de Manualidades</t>
  </si>
  <si>
    <t>17. Desarrollar 2 Talleres anuales de Fotografia</t>
  </si>
  <si>
    <t>18. Desarrollar 2 Talleres anuales de percucion folclorica</t>
  </si>
  <si>
    <t>1, Desarrollar el 100% del procesos de fortalecimiento formativo mediante seguimiento y control.</t>
  </si>
  <si>
    <t>1,1 Realizar 4 jornadas de seguimiento y evaluacion para el proceso de formacion en artes integradas.</t>
  </si>
  <si>
    <t>1,2 Realizar 4 jornadas de seguimiento y evaluacion para el proceso de talles artisticos.</t>
  </si>
  <si>
    <t>2, Desarrollar el 100% del proceso de fortalecimento formativo mediante el garantizar insumos para la formacion de artes integradas y practicas artisticas.</t>
  </si>
  <si>
    <t>2,1 Realizar mantenimiento al 100% de instrumentos musicales y mobiliario que se prioricen.</t>
  </si>
  <si>
    <t>Mayo</t>
  </si>
  <si>
    <t>3 Desarrollar el 100% del proceso de promocion institucional en los procesos de formacion en artes integradas y practicas artisticas.</t>
  </si>
  <si>
    <t xml:space="preserve">3.1 Realizar 2 muestras artisticas para los estudiantes de los talleres de formacion </t>
  </si>
  <si>
    <t>Julio - Diciembre</t>
  </si>
  <si>
    <t>Realizar 1 Edición Especial Encuentro Nacionales de Danzas "Nuestra Tierra - IMCY 2021"</t>
  </si>
  <si>
    <t>Realizar Segunda Edición Especial Encuentro Nacionales de Intérpretes de Música Colombiana "Julio Cesar Garcia Ayala" 2021</t>
  </si>
  <si>
    <t>Noviembre</t>
  </si>
  <si>
    <t>Realizar el VIII Encuentro nacional de Teatro - IMCY 2021</t>
  </si>
  <si>
    <t>Realizar 1 Encuentro de Bandas Musico Marciales IMCY-2021</t>
  </si>
  <si>
    <t>Abril</t>
  </si>
  <si>
    <t>Realiza la Conformacion de 1 Empresa Cultural.</t>
  </si>
  <si>
    <t xml:space="preserve">1. Desarrollar el 100% del componente de Difusion y promocion Institucional </t>
  </si>
  <si>
    <t>1.1 Realizar 20 actualizaciones a las  carteleras Informativas institucionales del IMCY</t>
  </si>
  <si>
    <t>1.2  Realizar 44 actualizaciones a las  la pagina web institucional del IMCY.</t>
  </si>
  <si>
    <t xml:space="preserve">1.3. Emitr 50 boletines de prensa anuales </t>
  </si>
  <si>
    <t>1.4. Desarrollar 1 informe de evaluacion sobre la gestion de comunicacion del Instituto (Encuestas de Comunicacion aplicada en diferentes Actividades misionales)</t>
  </si>
  <si>
    <t>1.5 Apoyar 24 programas radiales (Noti-Cultural) donde se promociona los eventos y actividades de interés cultural del Municipio de Yumbo</t>
  </si>
  <si>
    <t>1.6 Realizar 36 acciones para la difusion de las actividades que desarrolla el instituto municipal de cultura.</t>
  </si>
  <si>
    <t>1,7. Realizar 3  comerciales para la promocion institucional.</t>
  </si>
  <si>
    <t>2, Desarrollar el 100% del componente de circulacion y promocion artistica y cultural.</t>
  </si>
  <si>
    <t>2,1 Generar 15 Espacios culturales para la circulacion de los artistas municipales (Ambiental, socio familiar y ciudadana)</t>
  </si>
  <si>
    <t>2,2 Apoyar  3 Encuentros de melomanos.</t>
  </si>
  <si>
    <t>2,3 Desarrollar 8 actividades de cultura ciudadana</t>
  </si>
  <si>
    <t>2,4 Desarrollar 1 actividad para promocionar la salsa en nuestro municipio (BAILALO)</t>
  </si>
  <si>
    <t>2,5 Desarrollar el  XV  Concurso Nacional de Danzas en Pareja - IMCY 2021</t>
  </si>
  <si>
    <t>Desarrollar 1 proceso artistico  para la reactivacion del sector Musical por medio de la activdad denominada cultura a la comuna IMCY-2021</t>
  </si>
  <si>
    <t>Desarrollar 1 plan de economia naranja para los yumbeños.</t>
  </si>
  <si>
    <t>Realizar 1 convocatoria de estimulos "Creemos en la reactivacion cultural IMCY 2021 "</t>
  </si>
  <si>
    <t>1/ Fortalecer el 100 % del servicio de Préstamo externo y Consulta en sala</t>
  </si>
  <si>
    <t>1,1 Realizar sensibilización permanente a los usuarios sobre el cuidado de los libros y herramientas de consulta bibliotecaria.</t>
  </si>
  <si>
    <t>1. Desarrollar  2 actividad para la promocion de lectura  en la primera infancia</t>
  </si>
  <si>
    <t>1.1 Realizar 9 actividades de "goticas de lectura" en la biblioteca</t>
  </si>
  <si>
    <t>1.2 Realizar 9 actividades de "Visitas guiadas" en la biblioteca</t>
  </si>
  <si>
    <t>2, Mantener las actividades de lectura estipúladas por el programa nacional de lectura "Leer es mi cuento"</t>
  </si>
  <si>
    <t xml:space="preserve">2.1 Realizar 9 actividades de "Lectura en voz alta" </t>
  </si>
  <si>
    <t>2.2 Realizar 9 actividades de "La hora del cuento" en la biblioteca.</t>
  </si>
  <si>
    <t>2,3. Desarrollar 3 Jornadas de Tertulias Literaria</t>
  </si>
  <si>
    <t>2,4. Desarrollar 1 actividad para la celebracion del  Dia del idioma y dia internaconal del libro y derechos de autor</t>
  </si>
  <si>
    <t>2,5 Realizar 1 actividad de vacaciones creativas fin de año.</t>
  </si>
  <si>
    <t>3 Desarrollar  5 servicios continuos, dirigidos a facilitar el acceso a la informacion academica y de ocio  mediante recursos  fisicos y digitales</t>
  </si>
  <si>
    <t xml:space="preserve"> Desarrollar el 25 Concurso anual del cuento literario. </t>
  </si>
  <si>
    <t xml:space="preserve">Cubrir el 100% de las mejoras necesarias requeridas por el Instituto para su funcionalidad (daños ocasionales y reparaciones locativas necesarias no programadas) </t>
  </si>
  <si>
    <t>Fortalecimiento de la diversidad de expresiones culturales y la economía creativa mediante estrategias de Fomento y Difusión  artística y cultural del Municipio de Yumbo.</t>
  </si>
  <si>
    <t>Adecuación, Dotación  y  Mantenimiento de la Infraestructura  artística y cultural generando desarrollo y fortalecimiento de todas las actividades culturales del Municipio de Yumbo.</t>
  </si>
  <si>
    <t>Implementación  de estrategias  de formación y capacitación artística y cultural para la reconstrucción del tejido social del Municipio de Yumbo</t>
  </si>
  <si>
    <t>Fortalecimiento de las estrategias de la Biblioteca Pública Municipal para garantizar el libre acceso a la información y a la lectura en la comunidad del Municipio de Yumbo</t>
  </si>
  <si>
    <t>Implementar estrategias para la Gestión, protección y salvaguardia del patrimonio cultural  material e inmaterial del Municipio De Yumbo.</t>
  </si>
  <si>
    <t>04.33.3301.1603.3301068.200036.2.3.3.05.09.001.08</t>
  </si>
  <si>
    <t>RP. Entidades del gobierno general</t>
  </si>
  <si>
    <t>04.33.3301.1603.3301068.200036.2.3.3.05.09.001.09</t>
  </si>
  <si>
    <t>EST. Entidades del gobierno general</t>
  </si>
  <si>
    <t>04.33.3301.1603.3301068.200036.2.3.3.05.09.001.12</t>
  </si>
  <si>
    <t>RP.SDO/2020 Entidades del gobierno general</t>
  </si>
  <si>
    <t>04.33.3302.1603.3302049.200037.2.3.3.05.09.001.10</t>
  </si>
  <si>
    <t>04.33.3302.1603.3302049.200037.2.3.3.05.09.001.15</t>
  </si>
  <si>
    <t>04.33.3301.1603.3301087.200034.2.3.3.05.09.001.14</t>
  </si>
  <si>
    <t>04.33.3301.1603.3301087.200034.2.3.3.05.09.001.05</t>
  </si>
  <si>
    <t>04.33.3301.1603.3301053.200033.2.3.3.05.09.001.03</t>
  </si>
  <si>
    <t>04.33.3301.1603.3301053.200033.2.3.3.05.09.001.01</t>
  </si>
  <si>
    <t>SGPCUL.Entidades del gobierno general</t>
  </si>
  <si>
    <t>04.33.3301.1603.3301053.200033.2.3.3.05.09.001.02</t>
  </si>
  <si>
    <t>04.33.3301.1603.3301053.200033.2.3.3.05.09.001.11</t>
  </si>
  <si>
    <t>04.33.3301.1603.3301071.200033.2.3.3.05.09.001.04</t>
  </si>
  <si>
    <t>04.33.3301.1603.3301085.200054.2.3.3.05.09.001.06</t>
  </si>
  <si>
    <t>04.33.3301.1603.3301085.200054.2.3.3.05.09.001.07</t>
  </si>
  <si>
    <t>EST.Entidades del gobierno general</t>
  </si>
  <si>
    <t>04.33.3301.1603.3301085.200054.2.3.3.05.09.001.13</t>
  </si>
  <si>
    <t>IMCY</t>
  </si>
  <si>
    <t>Pablo Daniel Patiño Quijano</t>
  </si>
  <si>
    <t>05.33.3301.1603.3301087.200034.2.3.2.02.02.009.33.01.01.01</t>
  </si>
  <si>
    <t>RA. 91124. Servicios de la aministración pública relacionados con la recreación, la cultura y la religión</t>
  </si>
  <si>
    <t xml:space="preserve"> INFORME DE SUPERVISION Y SEGUIMIENTO DE CONTRATOS DE PRESTACIÓN DE SERVICIOS 
FO-GH-06
</t>
  </si>
  <si>
    <t>julio</t>
  </si>
  <si>
    <t>Octubre</t>
  </si>
  <si>
    <t>Julio</t>
  </si>
  <si>
    <t>Diembre</t>
  </si>
  <si>
    <t>3,2 Desarrollar 2 procesos de extencion de talleres para la promocion Artistica y cultural (Banda sinfonica - Banda Musico Marcial)</t>
  </si>
  <si>
    <t xml:space="preserve"> INFORME DE SUPERVISION Y SEGUIMIENTO DE CONTRATOS DE PRESTACIÓN DE SERVICIOS 
FO-GH-06</t>
  </si>
  <si>
    <t>Se Establecieron Diagnoticos en la programacion de la modalidad artistica para el semestre, generando estrategias digitales y/o virtuales para el desarrollo de este taller artistico, y garantizar inscripciones.</t>
  </si>
  <si>
    <t>Esta actividad se compone de la actividad 1,1 y 1,2</t>
  </si>
  <si>
    <t>Esta actividad se compone de la actividad 2,1 y 2,2 y 2,3</t>
  </si>
  <si>
    <t>2,2 Dotación de mobiliario para la formacion y capacitacion artitstica que lo requieran.</t>
  </si>
  <si>
    <t>2,3 Realizar 1 dotacion de instrumentos musicales a los programas y procesos de formacion artisticos que lo requiera.</t>
  </si>
  <si>
    <t>Se realiza planeacion y programacion de actividades para el cumplimiento de las actividades de Talleres establecidos por los planes proyectos y programas institucionales.</t>
  </si>
  <si>
    <t>Se realiza planeacion y programacion de actividades para el cumplimiento de las actividades de Escuela establecidos por los planes proyectos y programas institucionales.</t>
  </si>
  <si>
    <t>3.3 Realizar 1 actividad para el encuentro de egresados.</t>
  </si>
  <si>
    <t>3.4 Realizar 1 Audicion  artisticas para los estudiantes de la Escuela de Artes Integradas.</t>
  </si>
  <si>
    <t>2021-768920043
   2021-768920043-1</t>
  </si>
  <si>
    <t>2021-768920051
2021-768920051-1</t>
  </si>
  <si>
    <t>2021-768920046
2021-768920046-1</t>
  </si>
  <si>
    <t>2021-768920050
2021-768920050-1</t>
  </si>
  <si>
    <t>2021-768920045
2021-768920045-1</t>
  </si>
  <si>
    <t>EJECUCION TRIMESTRE I DE META</t>
  </si>
  <si>
    <t>EJECUCION TRIMESTRE II DE META</t>
  </si>
  <si>
    <t>EJECUCION TRIMESTRE III DE META</t>
  </si>
  <si>
    <t>EJECUCION TRIMESTRE IV DE META</t>
  </si>
  <si>
    <t xml:space="preserve">PLAN INDICATIVO </t>
  </si>
  <si>
    <t>PLAN DE DESARROLLO 2020-2023 CREEMOS EN YUMBO</t>
  </si>
  <si>
    <t>CONTENIDO PLAN DE DESARROLLO PRELIMINAR 2020-2023</t>
  </si>
  <si>
    <t>PROGRAMACION METAS</t>
  </si>
  <si>
    <t>PROGRAMACION FINANCIERA</t>
  </si>
  <si>
    <t>META RESULTADO</t>
  </si>
  <si>
    <t>Linea Base</t>
  </si>
  <si>
    <t>Nombre</t>
  </si>
  <si>
    <t>Responsable</t>
  </si>
  <si>
    <t>EJE TEMATICO</t>
  </si>
  <si>
    <t>FUENTE DE FINANCIACION</t>
  </si>
  <si>
    <t>TOTAL</t>
  </si>
  <si>
    <t>YUMBO SALUDABLE, SOSTENIBLE Y SUSTENTABLE</t>
  </si>
  <si>
    <t>Entornos para los estilos, modos y condiciones de vida saludable</t>
  </si>
  <si>
    <t>Entornos saludables, sostenibles y sustentables</t>
  </si>
  <si>
    <t>Número de usuarios subvencionados con el programa de mínimo vital de agua potable para la población de estratos 1 y 2 del municipio de Yumbo en el periodo 2020-2023.</t>
  </si>
  <si>
    <t xml:space="preserve">Secretaría General </t>
  </si>
  <si>
    <t>Política Pública de Ambiente adoptada e implementada.</t>
  </si>
  <si>
    <t>Departamento Administrativo de Planeación e Informática</t>
  </si>
  <si>
    <t>Política Pública de Soberanía y Seguridad  Alimentaria adoptada e implementada.</t>
  </si>
  <si>
    <t>Número de visitas de Inspección, Vigilancia y Control Sanitario, con ajustes adoptadas</t>
  </si>
  <si>
    <t>Secretaria de Salud</t>
  </si>
  <si>
    <t>Número de zonas declaradas como Zonas de Reserva Ecológica Urbana.</t>
  </si>
  <si>
    <t>Sistema de tenencia responsable de animales de compañía, construido e implementado.</t>
  </si>
  <si>
    <t>Sistema de protección y el derecho al bienestar de los animales, construido e implementado y actualizado.</t>
  </si>
  <si>
    <t>Secretaría de Paz y Convivencia</t>
  </si>
  <si>
    <t>Gestión del Conocimiento y expresión integral</t>
  </si>
  <si>
    <t>Número de núcleos familiares en atención Primaria en Salud con enfoque familiar, diferencial y étnico implementada en los territorios.</t>
  </si>
  <si>
    <t>Número de Instituciones Educativas con la Estrategia de Escuelas Saludables en los territorios priorizados implementada</t>
  </si>
  <si>
    <t xml:space="preserve">Número de víctimas del conflicto armado con atención psicosocial, atendidas. </t>
  </si>
  <si>
    <t>Entornos urbanos y rurales saludables, sostenibles y sustentables</t>
  </si>
  <si>
    <t>Condiciones de habitabilidad y salud urbana y rural.</t>
  </si>
  <si>
    <t>Parque Lineal de Yumbo, construido  (Fases)</t>
  </si>
  <si>
    <t>Metros Lineales</t>
  </si>
  <si>
    <t>IMVIYUMBO</t>
  </si>
  <si>
    <t>Zonas Verdes, Parques y/o Plazoletas, construidas.</t>
  </si>
  <si>
    <t>Zonas Verdes, Parques y Plazoletas revitalizadas.</t>
  </si>
  <si>
    <t>Número de obras de infraestructura para vivienda, ejecutadas.</t>
  </si>
  <si>
    <t>Número de subsidios para mejoramiento de vivienda, adjudicados.</t>
  </si>
  <si>
    <t>Número de subsidios para reposición de vivienda en sitio propio.</t>
  </si>
  <si>
    <t>Campañas de buenas prácticas de convivencia, mantenimiento para el espacio público, implementadas.</t>
  </si>
  <si>
    <t>Equipamientos Saludables</t>
  </si>
  <si>
    <t>Red De Salud Pública Municipal, Fortalecida.</t>
  </si>
  <si>
    <t>Numero</t>
  </si>
  <si>
    <r>
      <t>Metros cuadrados (M</t>
    </r>
    <r>
      <rPr>
        <vertAlign val="superscript"/>
        <sz val="12"/>
        <color rgb="FF000000"/>
        <rFont val="Arial"/>
        <family val="2"/>
      </rPr>
      <t>2</t>
    </r>
    <r>
      <rPr>
        <sz val="12"/>
        <color rgb="FF000000"/>
        <rFont val="Arial"/>
        <family val="2"/>
      </rPr>
      <t>) de adaptación de área física del Centro de Salud de las Américas para el Centro Integral para el desarrollo de la Discapacidad de Yumbo – CDDY, adecuado y operando.</t>
    </r>
  </si>
  <si>
    <t>Metros cuadrados (M2)</t>
  </si>
  <si>
    <t>Secretaría de Bienestar Social y Participación Ciudadana</t>
  </si>
  <si>
    <t>Número  de Juntas Administradoras de los Sistemas de Acueducto Rural, optimizadas.</t>
  </si>
  <si>
    <t>Secretaría de Infraestructura y Servicios Públicos</t>
  </si>
  <si>
    <t>Número de asociaciones de los Acueductos Rurales por cuenca, conformadas.</t>
  </si>
  <si>
    <t>Nuevo Hospital del Municipio de Yumbo, Construido.</t>
  </si>
  <si>
    <t xml:space="preserve">Numero de nuevos prestadores de salud para mejorar la oferta del servicio, incrementados </t>
  </si>
  <si>
    <t xml:space="preserve">Numero </t>
  </si>
  <si>
    <t xml:space="preserve">Secretaria de Salud </t>
  </si>
  <si>
    <t>Yumbo le apuesta a la conservación ambiental y al desarrollo sostenible</t>
  </si>
  <si>
    <t>Protección y conservación de nuestras cuencas hidrográficas y las áreas de importancia estratégica</t>
  </si>
  <si>
    <t>Número de Hectáreas de importancia estratégica para la conservación de recursos hídrico, adquiridas.</t>
  </si>
  <si>
    <t>UMATA</t>
  </si>
  <si>
    <t>Esquema de pago por servicio ambientales (PSA) para la conservación de recursos hídricos protegidos implementado</t>
  </si>
  <si>
    <t>Número de Hectáreas de importancia estratégica para la conservación de recursos hídricos, con administración y/o mantenimiento, implementado.</t>
  </si>
  <si>
    <t>Sistema Municipal de Áreas Protegidas formulado e implementado.</t>
  </si>
  <si>
    <t>Yumbo capital sostenible del Valle.</t>
  </si>
  <si>
    <t>Número de Bancos de Semillas y Sumidero de Carbono de especies para disminución de la huella de carbono, gestionado.</t>
  </si>
  <si>
    <t>Establecimientos públicos oficiales con sistemas de aprovechamiento de energías alternativas (solar y otras), instalados.</t>
  </si>
  <si>
    <t xml:space="preserve">UMATA </t>
  </si>
  <si>
    <t>Proyectos de responsabilidad social empresarial enfocados en la recuperación, conservación y protección del medio ambiente, acompañados.</t>
  </si>
  <si>
    <t>Plan de Ordenamiento del Recurso Hídrico, formulado e implementado.</t>
  </si>
  <si>
    <t>Gestión Integral de Residuos Sólidos</t>
  </si>
  <si>
    <t>Sistema de aprovechamiento de los Residuos Sólidos Domiciliarios –RSD, implementada.</t>
  </si>
  <si>
    <t>Diagnóstico y caracterización del aprovechamiento de los Residuos Sólidos Orgánicos generados en la zona rural, realizado.</t>
  </si>
  <si>
    <t>Sistema de mantenimiento y limpieza de la ribera del rio Yumbo con la comunidad, implementado.</t>
  </si>
  <si>
    <t>Acciones para la Gestión Integral de Residuos de Construcción y Demolición para su aprovechamiento, implementadas.</t>
  </si>
  <si>
    <t xml:space="preserve">Sitio de disposición final de residuos de construcción y demolición RCD, implementado </t>
  </si>
  <si>
    <t>Más Escenarios, Más Inclusión</t>
  </si>
  <si>
    <t>Escenarios saludables</t>
  </si>
  <si>
    <t>Número de Escenarios Deportivos y Recreativos con mantenimiento rutinario, realizado.</t>
  </si>
  <si>
    <t>IMDERTY</t>
  </si>
  <si>
    <t>Número de Escenarios Deportivos y Recreativos con ajustes razonables de enfoque de inclusión (discapacidad), adecuados.</t>
  </si>
  <si>
    <t>Número de Escenarios Deportivos y Recreativos con diseños universales (discapacidad), construidos.</t>
  </si>
  <si>
    <t>Por un Yumbo con hábitos de vida saludables</t>
  </si>
  <si>
    <t>Yumbo alimentado saludablemente</t>
  </si>
  <si>
    <t>Programa para superar la condición de alteraciones nutricionales, implementado.</t>
  </si>
  <si>
    <t>Número de IPS con Estrategia IAMI, implementada.</t>
  </si>
  <si>
    <t>Población en  la estrategia  Conoce tu Riesgo-peso saludable y Estrategia 4x4, intervenida.</t>
  </si>
  <si>
    <t>Yumbo, un Territorio con Vida Saludable, Convivencia Social y Salud Mental.</t>
  </si>
  <si>
    <t>Línea estratégica de la Política  (con enfoque diferencial), para  la prevención de los problemas de salud mental, trastornos mentales, epilepsia y de factores de riesgo al consumo de sustancias psicoactivas.</t>
  </si>
  <si>
    <t>Línea estratégica de la Política  (con enfoque diferencial) para el tratamiento integral  de problemas, trastornos mentales, epilepsia y consumo de sustancias psicoactivas</t>
  </si>
  <si>
    <t>Política pública integral de salud mental  y prevención, atención al consumo de sustancias psicoactivas.</t>
  </si>
  <si>
    <t>Número de Establecimientos Educativos: con Zonas de Orientación Escolar (ZOE) para la promoción de la salud mental positiva, prevención y mitigación de eventos prevalentes en salud mental (Intento de suicidio, consumo de sustancias psicoactivas y violencias de género).</t>
  </si>
  <si>
    <t>Número de Proyectos de Gestión Responsable del Tiempo libre y las Tecnologías, realizados.</t>
  </si>
  <si>
    <t>Secretaría de Educación</t>
  </si>
  <si>
    <t>Hogar de Paso para los niños, niñas y adolescentes víctimas de algún tipo de maltrato, funcionando.</t>
  </si>
  <si>
    <t>Número de Centros de Desarrollo Integral, funcionando</t>
  </si>
  <si>
    <t xml:space="preserve">Hogar de Acogida para las mujeres víctimas de algún tipo de maltrato, funcionando. </t>
  </si>
  <si>
    <t>Número de alianzas para la gestión de la mitigación de la pobreza extrema, implementado.</t>
  </si>
  <si>
    <t>Número de familias en programas nacionales para la superación de la pobreza y pobreza extrema, beneficiadas.</t>
  </si>
  <si>
    <t xml:space="preserve">Número de familias en el Plan de Atención para el Desarrollo de Yumbo, beneficiadas. </t>
  </si>
  <si>
    <t xml:space="preserve">Número de Atenciones Humanitarias de Inmediatez y del componente de alimentación familias VÍCTIMAs vulnerables, que aún no logran estabilización económica, garantizada. </t>
  </si>
  <si>
    <t>Política Pública de Adulto Mayor, formulada e implementada.</t>
  </si>
  <si>
    <t>Número adultos mayores con planes de servicios complementarios en el Centro Hogar Día, beneficiados.</t>
  </si>
  <si>
    <t>Número de adultos mayores en situación de calle con atención integral, beneficiados.</t>
  </si>
  <si>
    <t>Número de comuneros electos afiliados al sistema de salud, ARL y pago de póliza de vida.</t>
  </si>
  <si>
    <t>Número de IPS con las líneas estratégicas de prevención del Riesgo y Detección Temprana, en el marco del Plan Nacional de Control del Cáncer, implementadas.</t>
  </si>
  <si>
    <t>Número de IPS que se le realizo acompañamiento para la implementación del abordaje integral de las Enfermedades Crónicas no Transmisibles (Hipertensión y Diabetes).</t>
  </si>
  <si>
    <t>Alianza para la superación de la pobreza extrema con el programa nacional Red Unidos, gestionada.</t>
  </si>
  <si>
    <t>Yumbo Sonriente.</t>
  </si>
  <si>
    <t xml:space="preserve">Número de personas intervenidas en el programa de Promoción de la Salud Oral a la comunidad de Yumbo. </t>
  </si>
  <si>
    <t>Creemos en Yumbo “Tierra de Campeones”</t>
  </si>
  <si>
    <t>Altos Logros</t>
  </si>
  <si>
    <t>Numero de deportistas adscritos en las diferentes disciplinas deportivas, beneficiados.</t>
  </si>
  <si>
    <t>Número de las disciplinas deportivas con los elementos logísticos necesarios para el desarrollo de la práctica deportiva, fortalecidas.</t>
  </si>
  <si>
    <t xml:space="preserve">Número de deportistas destacados con Estímulos Deportivos, beneficiados. </t>
  </si>
  <si>
    <t>Más Deporte, Más Cobertura.</t>
  </si>
  <si>
    <t>Número de deportistas nuevos en las disciplinas deportivas, incorporados.</t>
  </si>
  <si>
    <t>Número de disciplinas deportivas nuevas, implementadas.</t>
  </si>
  <si>
    <t>Fomentando prácticas deportivas más saludables</t>
  </si>
  <si>
    <t>Fomentando lazos mas cerca de la gente en que creemos</t>
  </si>
  <si>
    <t>Número de personas con los programas de fomento al Deporte, la Recreación y Aprovechamiento del Tiempo Libre, beneficiadas.</t>
  </si>
  <si>
    <t>Número de menores en programa de atención a la primera Infancia en desarrollo psicomotor, beneficiados.</t>
  </si>
  <si>
    <t>Número de personas en Programas de Actividad Física, beneficiadas.</t>
  </si>
  <si>
    <t>Mejoramiento de las condiciones de salud de la población</t>
  </si>
  <si>
    <t>Enfermedades Trasmisibles</t>
  </si>
  <si>
    <t>Sistema de Gestión Integral de Enfermedades Transmitidas por Vectores – EGIETV-, actualizada e implementada.</t>
  </si>
  <si>
    <t>Plan “Hacia el Fin de la Tuberculosis”, elaborado e implementado.</t>
  </si>
  <si>
    <t>Atención integral en salud a la primera infancia en instituciones prestadoras de servicios de salud en el municipio implementada.</t>
  </si>
  <si>
    <t>Número de dosis en el programa ampliado de  Vacunación menores de 6 años (biológicos trazadores), beneficiados.</t>
  </si>
  <si>
    <t>Salud Sexual y Reproductiva</t>
  </si>
  <si>
    <t>Número de personas en el programa de Detección temprana de infecciones de transmisión sexual en grupos claves de población (LGTBIQ+,HSH, trabajadoras sexuales) y población a riesgo, beneficiadas.</t>
  </si>
  <si>
    <t>Número de intervenciones para el fortalecimiento de la  adherencia GPC de Sífilis Gestacional y Congénita en las EPS e Instituciones prestadoras de servicios de salud en el Municipio.</t>
  </si>
  <si>
    <t>Adolescentes y jóvenes, con promoción de derechos Sexuales y Reproductivos, intervenidos.</t>
  </si>
  <si>
    <t>Mujeres en el programa de Maternidad Segura, intervenidas.</t>
  </si>
  <si>
    <t>Número de Rutas de Interrupción Voluntaria del Embarazo – IVE-, implementada.</t>
  </si>
  <si>
    <t>Número de IPS con la Estrategia Servicios de Salud Amigables para Adolescentes y Jóvenes, Implementada.</t>
  </si>
  <si>
    <t>Adolescentes y jóvenes en el programa de Servicios de Salud Amigables para Adolescentes y Jóvenes, intervenidos.</t>
  </si>
  <si>
    <t>Inclusión Social y productiva.</t>
  </si>
  <si>
    <t xml:space="preserve">Número de programas VEO-Vigilancia Epidemiológica de plaguicidas Organo-Fosforados y Carbamatos, formulado. </t>
  </si>
  <si>
    <t xml:space="preserve">Secretaria de Salud  </t>
  </si>
  <si>
    <t>Población en el  régimen subsidiado con cofinanciación, afiliada.</t>
  </si>
  <si>
    <t>Número de espacios de participación ciudadana para el control social al SGSSS, optimizados.</t>
  </si>
  <si>
    <t>Centro de Zoonosis y Bienestar animal, Implementado.</t>
  </si>
  <si>
    <t>Sistema de Emergencia Médica, Implementado.</t>
  </si>
  <si>
    <t>Convenio para la atención en salud de Población pobre y vulnerable del municipio, implementado.</t>
  </si>
  <si>
    <t>Entidades Administradoras de Planes de Beneficios de servicios de salud del  Régimen Subsidiado y Contributivo del Municipio, Inspeccionadas y vigiladas.</t>
  </si>
  <si>
    <t>Instituciones de Prestación de Servicios de Salud –IPS- del Régimen Subsidiado y Contributivo del Municipio, inspeccionadas y vigiladas.</t>
  </si>
  <si>
    <t>Entornos educativos</t>
  </si>
  <si>
    <t>Equipamientos e infraestructura</t>
  </si>
  <si>
    <t>Número de sedes educativas con necesidades de infraestructura educativa y tecnológica, identificadas.</t>
  </si>
  <si>
    <t xml:space="preserve">Número de sedes educativas con ambientes de aprendizajes, modernizados. </t>
  </si>
  <si>
    <t>Número de sedes educativas con conectividad garantizada.</t>
  </si>
  <si>
    <t>Número de sedes Educativas Oficiales con predios titulados a nombre del municipio.</t>
  </si>
  <si>
    <t>Número de Instituciones Educativas con el Servicio de vigilancia, garantizados.</t>
  </si>
  <si>
    <t xml:space="preserve">Número de instituciones educativas con Servicios Públicos, garantizados. </t>
  </si>
  <si>
    <t>Kilómetros de Ciclo rutas demarcadas.</t>
  </si>
  <si>
    <t>Kilómetros</t>
  </si>
  <si>
    <t>Secretaría de Tránsito</t>
  </si>
  <si>
    <t>Número de espacios con necesidades de mantenimiento, adecuación y mejoramiento, intervenidos.</t>
  </si>
  <si>
    <t>IMETY</t>
  </si>
  <si>
    <t>Número de espacios con necesidades de infraestructura física de ambientes de aprendizaje intervenidos.</t>
  </si>
  <si>
    <t>Acciones efectivas para la inclusión social</t>
  </si>
  <si>
    <t>Primera Infancia, Infancia, Adolescencia y Juventud.</t>
  </si>
  <si>
    <t>Número de alianzas con el sector público, privado y/o sociedad civil en beneficio de la implementación de la Política Pública de la primera infancia, infancia y adolescencia, desarrolladas.</t>
  </si>
  <si>
    <t xml:space="preserve">Número de niños y niñas de primera infancia, infancia y adolescencia en actividades innovadoras de promoción de derechos, beneficiados. </t>
  </si>
  <si>
    <t xml:space="preserve">Número de adultos responsables de crianza con estímulos de desarrollo, afecto, crianza, cuidado y protección de los niños, niñas y adolescentes, beneficiados. </t>
  </si>
  <si>
    <t>Número de niños como gestores de paz y resolución de conflictos para la prevención de la violencia y el bullying, capacitados</t>
  </si>
  <si>
    <t>Juventud</t>
  </si>
  <si>
    <t>Número jóvenes en programa de apoyo nacional para la permanencia en la educación superior, beneficiados.</t>
  </si>
  <si>
    <t xml:space="preserve">Número de Procesos de formación política para nuevos liderazgos, desarrollados. </t>
  </si>
  <si>
    <t xml:space="preserve">Número de jóvenes en actividades innovadoras de promoción de derechos, beneficiados. </t>
  </si>
  <si>
    <t>Política pública de la juventud formulada e implementada.</t>
  </si>
  <si>
    <t>Proyecto estratégico urbano (Distrito Creativo-Estrategia de Desarrollo Naranja) para el desarrollo de talentos en arte, deporte y ciencia y tecnología diseñado y gestionado.</t>
  </si>
  <si>
    <t>Adulto Mayor</t>
  </si>
  <si>
    <t>Número de adultos mayores en competencias para el manejo básico de tecnologías, formados.</t>
  </si>
  <si>
    <t>Número de adultos mayores con reconocimiento y goce efectivo de derechos fundamentales, beneficiados.</t>
  </si>
  <si>
    <t>Sistema de seguimiento a la situación de los adultos mayores para su atención implementado.</t>
  </si>
  <si>
    <t>Etnias</t>
  </si>
  <si>
    <t xml:space="preserve">Número de alianzas con sector académico para implementación de procesos de formación para el trabajo a integrantes de comunidades étnicas.  </t>
  </si>
  <si>
    <t xml:space="preserve">Congreso Departamental de fortalecimiento de la identidad étnica desarrollado. </t>
  </si>
  <si>
    <t xml:space="preserve">Número de espacios de reconocimiento a las comunidades indígenas asentadas en el Municipio de Yumbo, desarrollados. </t>
  </si>
  <si>
    <t>Número de Consejos Comunitarios en la Oferta Institucional, fortalecidos.</t>
  </si>
  <si>
    <t>Número de Organizaciones base Afro en Políticas de Etnodesarrollo, fortalecidas.</t>
  </si>
  <si>
    <t>Número de Comunidades Indígenas en Identidad Cultural, fortalecidas.</t>
  </si>
  <si>
    <t>Política Pública para Afros, formulada e implementada.</t>
  </si>
  <si>
    <t>Mujer</t>
  </si>
  <si>
    <t xml:space="preserve">Política Pública de la Mujer, formulada e implementada. </t>
  </si>
  <si>
    <t>Número de mujeres en empoderamiento, participación, liderazgo político y social, formadas.</t>
  </si>
  <si>
    <t>Número de Mujeres en ofertas institucionales para el reconocimiento y goce efectivo de sus derechos fundamentales, posicionadas.</t>
  </si>
  <si>
    <t xml:space="preserve">Ruta de atención territorial para la prevención, atención y seguimiento a uniones tempranas y violencia basada en género formulada </t>
  </si>
  <si>
    <t>Sistema de igualdad laboral en ámbitos privado y públicos formulado e implementado.</t>
  </si>
  <si>
    <t>LGTBIQ+.</t>
  </si>
  <si>
    <t>Número de personas con reconocimiento y goce efectivo de los derechos fundamentales de la Población LGTBIQ+, beneficiadas.</t>
  </si>
  <si>
    <t xml:space="preserve">Número de instancias de participación efectiva para Población LGTBIQ+, apoyadas. </t>
  </si>
  <si>
    <t>Número de alianzas con sector académico para implementación de procesos de formación para el trabajo a integrantes de la comunidad LGTBIQ+.</t>
  </si>
  <si>
    <t>Campañas de sensibilización para generar tolerancia frente a la población LGTBIQ+ realizadas.</t>
  </si>
  <si>
    <t>Plan de acción en la implementación de la política pública LGTBIQ+ formulado.</t>
  </si>
  <si>
    <t>Casa de comunidades, gestionada.</t>
  </si>
  <si>
    <t>Superando Barreras</t>
  </si>
  <si>
    <t>Jornadas de inclusión social, familiar y organizativa para personas con discapacidad.</t>
  </si>
  <si>
    <t>Comité Municipal de Discapacidad, desarrollado.</t>
  </si>
  <si>
    <t>Política pública de discapacidad formulada y adoptada</t>
  </si>
  <si>
    <t>Sistema de capital social creado e implementado.</t>
  </si>
  <si>
    <t>Creemos en la Resiliencia y Reconciliación</t>
  </si>
  <si>
    <r>
      <t>Número</t>
    </r>
    <r>
      <rPr>
        <sz val="12"/>
        <color rgb="FF00FF00"/>
        <rFont val="Arial"/>
        <family val="2"/>
      </rPr>
      <t xml:space="preserve"> </t>
    </r>
    <r>
      <rPr>
        <sz val="12"/>
        <color rgb="FF000000"/>
        <rFont val="Arial"/>
        <family val="2"/>
      </rPr>
      <t>de atenciones a víctimas del conflicto armado que lo requiera y que declararon ante el Ministerio Público, garantizada.</t>
    </r>
  </si>
  <si>
    <t>Conmemoración del Día Nacional de la memoria y solidaridad con las víctimas del conflicto armado, realizada.</t>
  </si>
  <si>
    <t>Plan de retorno y reubicación de la comunidad indígena “Unión Wounan Nonam” víctimas del conflicto armado, implementado</t>
  </si>
  <si>
    <t>Campaña para el reconocimiento para el enfoque diferencial en víctimas del conflicto armado realizada.</t>
  </si>
  <si>
    <t xml:space="preserve">Plan de trabajo de la mesa municipal de víctimas revisado, aprobado e implementado. </t>
  </si>
  <si>
    <t>Número de integrantes de la Mesa de Víctimas con compensatorios para la participación efectiva, garantizados.</t>
  </si>
  <si>
    <t>Mesa intersectorial para la Libertad de Culto, implementada.</t>
  </si>
  <si>
    <t>Despacho Alcalde</t>
  </si>
  <si>
    <t>Cultura por la Actividad Física.</t>
  </si>
  <si>
    <t>Círculos Educativos y Saludables</t>
  </si>
  <si>
    <t>Número de fases municipales anuales de "Juegos Supérate", desarrolladas.</t>
  </si>
  <si>
    <t>Número de estudiantes (Instituciones Educativas Públicas), en el programa de educación física y Deporte Escolar, vinculados.</t>
  </si>
  <si>
    <t>Fortalecimiento Administrativo y de la Planeación Educativa</t>
  </si>
  <si>
    <t>Planeación de la Política Pública</t>
  </si>
  <si>
    <t>Política Pública – Pacto por la educación en Yumbo 2020 -2034 formulada e implementada.</t>
  </si>
  <si>
    <t>Banco de Solidaridad Escolar, creado.</t>
  </si>
  <si>
    <t>Fondo Educativo Municipal</t>
  </si>
  <si>
    <t>Despacho alcalde</t>
  </si>
  <si>
    <t>Fortalecimiento Administrativo de la Educación</t>
  </si>
  <si>
    <t>Número de procesos para la gestión eficiente del servicio educativo, fortalecidos.</t>
  </si>
  <si>
    <t xml:space="preserve">Número de procesos de administración eficiente y eficaz de recursos de nómina del sector, implementado. </t>
  </si>
  <si>
    <t xml:space="preserve">Adecuación tecnología para la revolución industrial 4.0, implementada. </t>
  </si>
  <si>
    <t>Conectividad de sedes educativas con la red multipropósito de alta velocidad de municipio, implementada.</t>
  </si>
  <si>
    <t>Creemos en la cobertura educativa para Yumbo</t>
  </si>
  <si>
    <t>Mayor Acceso y Permanencia Educativa</t>
  </si>
  <si>
    <t>Número de estudiantes de población vulnerable y víctimas del conflicto armado registrados en el SIMAT, beneficiados.</t>
  </si>
  <si>
    <t>Número de estudiantes en el programa de educación para jóvenes y adultos, beneficiados.</t>
  </si>
  <si>
    <t>Número de modelos pedagógicos flexibles para población extra-edad y en situación de vulnerabilidad, implementados.</t>
  </si>
  <si>
    <t xml:space="preserve">Número de rutas de acceso y permanencia para niños entre los 6 y 17 años, implementada. </t>
  </si>
  <si>
    <t>Número de sedes educativas con cartografía Social y Educativa implementada.</t>
  </si>
  <si>
    <t>Programa de atención a  Estudiantes con Necesidades Educativas Específicas – NEE registrados en el SIMAT, implementado.</t>
  </si>
  <si>
    <t>Programa de Cierre de Brechas Educativas para atención de población extra edad diseñado e implementado</t>
  </si>
  <si>
    <t>Creemos en la Calidad Educativa para los Yumbeños</t>
  </si>
  <si>
    <t>Atención con Calidad</t>
  </si>
  <si>
    <t xml:space="preserve">Programa de Alimentación Escolar – PAE, implementado. </t>
  </si>
  <si>
    <t>Número de estudiantes en el programa de transporte “Movilízate a la Escuela”, beneficiados.</t>
  </si>
  <si>
    <t>Número de estudiantes del sistema educativo oficial en jornada única atendidos.</t>
  </si>
  <si>
    <t xml:space="preserve">Número de Planes municipales de lectura y escritura revisado, ajustado e implementado. </t>
  </si>
  <si>
    <t>Número de Instituciones Educativas oficiales que ejecutan los recursos de Gratuidad Educativa conforme a la Ley.</t>
  </si>
  <si>
    <t>Innovación en la calidad educativa</t>
  </si>
  <si>
    <t>Número de Planes Territoriales de Formación Docente (PTFD) diseñados e Implementados.</t>
  </si>
  <si>
    <t xml:space="preserve">Número de Planes de Apoyo al Mejoramiento – PAM Ajustados e Implementados. </t>
  </si>
  <si>
    <t xml:space="preserve">Número de proyectos de investigaciones pedagógicas, desarrollados. </t>
  </si>
  <si>
    <r>
      <t xml:space="preserve">Número de estudiantes vinculados al programa de estímulos a monitores. </t>
    </r>
    <r>
      <rPr>
        <b/>
        <sz val="12"/>
        <color rgb="FF000000"/>
        <rFont val="Arial"/>
        <family val="2"/>
      </rPr>
      <t xml:space="preserve"> </t>
    </r>
  </si>
  <si>
    <t>Número de estudiantes en la formación en el marco del Programa de bilingüismo, iniciados.</t>
  </si>
  <si>
    <t>Educación para el Futuro (Pertinencia)</t>
  </si>
  <si>
    <t>Excelencia para la Educación</t>
  </si>
  <si>
    <t>Número de Planes de Capacitación, Bienestar y estímulos a Docentes, Directivos Docentes y Personal Administrativo implementados.</t>
  </si>
  <si>
    <t>Número de premios “Ciudad Educadora”  con enfoque hacia el fomento, reconocimiento y exaltación a la excelencia educativa realizados.</t>
  </si>
  <si>
    <t>Número de proyectos educativos transversales en las Instituciones Educativas Oficiales implementados.</t>
  </si>
  <si>
    <t>Cátedra de afrocolombianidad, implementada</t>
  </si>
  <si>
    <t>Número de docentes en el marco del Programa de bilingüismo, formados.</t>
  </si>
  <si>
    <t>Número de Programas académicos de formación técnico laboral por competencias, técnico profesional o tecnológico, diseñados y/o actualizados.</t>
  </si>
  <si>
    <t>Número de Estudios de factibilidad para la Institución de Educación Superior Estatal, realizado.</t>
  </si>
  <si>
    <t>Número de estudiantes en formación técnica laboral por competencias, certificados.</t>
  </si>
  <si>
    <t>Número de sedes Educativas con una hora semanal de educación ambiental, en los Corregimientos de Yumbillo, Dapa, la Buitrera y la Olga  ajustada a la realidad y  implementada con una alianza local.</t>
  </si>
  <si>
    <t>Diagnóstico estratégico y prospectivo de las necesidades de formación en media técnica, técnica, tecnológica y superior universitaria realizado</t>
  </si>
  <si>
    <t>Número de programas de media técnica revisados y actualizados</t>
  </si>
  <si>
    <t>Cultura para el Desarrollo</t>
  </si>
  <si>
    <t>Cultura Vial.</t>
  </si>
  <si>
    <t>Número de Instituciones educativas con programas de seguridad vial implementada.</t>
  </si>
  <si>
    <t>Número de Acciones de Urbanismo Táctico (señalización) en movilidad para la participación ciudadana desarrolladas</t>
  </si>
  <si>
    <t>Número de Campañas de divulgación de la seguridad vial desarrolladas.</t>
  </si>
  <si>
    <t>Cultura Ambiental</t>
  </si>
  <si>
    <t>Grupos ambientales y ecológicos existentes en las sedes educativas públicas principales con educación secundaria, fortalecidos.</t>
  </si>
  <si>
    <t>Modelo de fomento de la conservación y el uso sostenible de los ecosistemas y el recurso hídrico, implementado</t>
  </si>
  <si>
    <t>Cultura para la Paz y la Reconciliación</t>
  </si>
  <si>
    <t>Número de jornadas de socialización del Código de Policía y Convivencia desarrolladas.</t>
  </si>
  <si>
    <t xml:space="preserve">Incrementar al 4% la capacidad de atencion promedio semanal, en la infraestructura artistica y cultural. </t>
  </si>
  <si>
    <t>Estampilla</t>
  </si>
  <si>
    <t>Recurso Propio</t>
  </si>
  <si>
    <t>Se ha beneficiado el 30% de la poblacion de niños, niñas, adolescentes, jovenes y adulto mayor con acciones de memoria historica y aumento del acervo cultural del municipio de Yumbo.</t>
  </si>
  <si>
    <t>se ha ampliado al 12% la cobertura anual en la formacion y de uso adecuado del tiempo libre de los niños, adolescentes, jovenes en lo artistico y cultural.</t>
  </si>
  <si>
    <t>10% anual</t>
  </si>
  <si>
    <t>Se ha aumentado al 14% la poblacion asistente anualmente, a los eventos y programas artisticos y culturales.</t>
  </si>
  <si>
    <t>12% anual</t>
  </si>
  <si>
    <t>Recurso propio</t>
  </si>
  <si>
    <t>SGP</t>
  </si>
  <si>
    <t>Recurso administrado</t>
  </si>
  <si>
    <t>Estampilla gestores</t>
  </si>
  <si>
    <t>ESP.PUB.Fortalecimiento procesos para promocionar y promover las expresiones artisticas y culturales</t>
  </si>
  <si>
    <t>Se ha incrementado a un 10% la poblacion beneficiada con los servicios de lectura y escritura prestados por la biblioteca publica municipal.</t>
  </si>
  <si>
    <t>9% anual</t>
  </si>
  <si>
    <t>Fortaleciendo las competencias socioemocionales</t>
  </si>
  <si>
    <t>Comunidad Educativa Fortalecida para el Futuro</t>
  </si>
  <si>
    <t>Catedra/Seminario/Taller “Creemos en Proyectos de Vida y Habilidades Socioemocionales para un Yumbo Educado” diseñada e implementada.</t>
  </si>
  <si>
    <t>Modelo de formación y acompañamiento a docentes y directivos docentes en liderazgo de competencias socioemocionales diseñado e implementado</t>
  </si>
  <si>
    <t xml:space="preserve">Secretaría de Educación </t>
  </si>
  <si>
    <t>Modelo integral e Interinstitucional de hábitos saludable en las escuelas diseñado y liderado por la SEMY</t>
  </si>
  <si>
    <t>Fortalecimiento de la Secretaría de Educación</t>
  </si>
  <si>
    <t>Modelo de Fortalecimiento Estratégico de la Secretaría de Educación Diseñado e Implementado</t>
  </si>
  <si>
    <t>Plan de Fortalecimiento del Liderazgo, el Seguimiento y el Acompañamiento Continúo diseñado e implementado</t>
  </si>
  <si>
    <t>Todos Preparados para el Desarrollo de la Primera Infancia</t>
  </si>
  <si>
    <t>Número de docentes de transición cualificados(as) en metodologías pedagógicas que corresponden a cada año de la Primera Infancia</t>
  </si>
  <si>
    <t>Sistema de atención integral a primera infancia no cubierta diseñado e implementado</t>
  </si>
  <si>
    <t>Modelo de Fortalecimiento de los procesos de seguimiento y monitoreo en los niños y niñas de preescolar para garantizar un estricto control del desarrollo cognitivo, pedagógico y físico revisado y actualizado.</t>
  </si>
  <si>
    <t>Reactivación y fortalecimiento de la Mesa de Primera Infancia presidida por la Secretaría de Educación.</t>
  </si>
  <si>
    <t>Número de alianzas descentralizadas dirigidas a programas en beneficio de la primera infancia, infancia y adolescencia fortalecidas.</t>
  </si>
  <si>
    <t>Número de niños como gestores de paz y resolución de conflictos para la prevención de la violencia y el bullying capacitados</t>
  </si>
  <si>
    <t>YUMBO SEGURO</t>
  </si>
  <si>
    <t>Creemos en un Yumbo más seguro</t>
  </si>
  <si>
    <t>Yumbo Seguro es una tarea de todos.</t>
  </si>
  <si>
    <t>Plan Integral de Seguridad y Convivencia Ciudadana para ciudadanos y líderes sociales formulado e implementado.</t>
  </si>
  <si>
    <t>Plan de prevención, protección y garantías de no repetición con entidades de SNARIV local y participación de las víctimas actualizado e implementado</t>
  </si>
  <si>
    <t>Plan de contingencia para víctimas de conflicto armado con entidades de SNARIV local y participación de las víctimas actualizado e implementado</t>
  </si>
  <si>
    <t xml:space="preserve">Número de documentos de investigación sobre temas de seguridad, realizadas. </t>
  </si>
  <si>
    <t>Número de Sistemas e instrumentos alternativos de participación ciudadana para la vigilancia y la seguridad implementados (Comité de Seguridad Comunal, Guardia Indígena; buzones, línea telefónica,  urna virtual y sistema de recompensas).</t>
  </si>
  <si>
    <t xml:space="preserve">Número de sistemas tecnológicos para la seguridad instalados. </t>
  </si>
  <si>
    <t xml:space="preserve">Número de mantenimientos a sistema  tecnológico para la seguridad, realizado. </t>
  </si>
  <si>
    <t xml:space="preserve">Número de Organismos de seguridad, justicia y registro fortalecidos. </t>
  </si>
  <si>
    <t xml:space="preserve">Acciones institucionales efectivas en seguridad y convivencia para la implementación y operatividad del Código Nacional de Policía (Ley 1801 de 2016). </t>
  </si>
  <si>
    <t>Yumbo con movilidad y transporte seguro</t>
  </si>
  <si>
    <t>Plan Local de Seguridad Vial implementado.</t>
  </si>
  <si>
    <t xml:space="preserve">Número de zonas azules o parqueaderos implementadas. </t>
  </si>
  <si>
    <t>Metros lineales de la Red vial a cargo de la entidad municipal señalizada.</t>
  </si>
  <si>
    <t>ML</t>
  </si>
  <si>
    <t>Número de dispositivos de seguridad vial, instalados.</t>
  </si>
  <si>
    <t>Número de mobiliario urbano de paraderos de servicio público, instalados.</t>
  </si>
  <si>
    <t>Número de operativos en transporte público de la Campaña “Viaja Seguro, en Corredores Seguros”, realizados.</t>
  </si>
  <si>
    <t xml:space="preserve">Número de vehículos de tracción animal, sustituidos. </t>
  </si>
  <si>
    <t>Alumbrado público para la seguridad, la paz y la convivencia.</t>
  </si>
  <si>
    <t xml:space="preserve">Plan de expansión de alumbrado público para la seguridad, la paz y la convivencia implementado. </t>
  </si>
  <si>
    <t>Porcentaje</t>
  </si>
  <si>
    <t>Secretaría General</t>
  </si>
  <si>
    <t>Subsidios para mejoramiento de vivienda de interés social.</t>
  </si>
  <si>
    <t>Número de subsidios municipales para reubicación de vivienda localizadas en zonas de alto riesgo adjudicados.</t>
  </si>
  <si>
    <t>Yumbo Seguro con Áreas Protegidas.</t>
  </si>
  <si>
    <t>Sistema de monitoreo basado en alertas tempranas para la prevención de riesgos ambientales frente al cambio climático en las áreas de importancia estratégica del municipio de Yumbo gestionado e implementado</t>
  </si>
  <si>
    <t>Número de árboles sembrados.</t>
  </si>
  <si>
    <t xml:space="preserve">Alianzas con guardabosques locales (que permitan incluso la resocialización de jóvenes) establecidas. </t>
  </si>
  <si>
    <t>Entornos seguros y de convivencia</t>
  </si>
  <si>
    <t>Control urbanístico y espacio público para la convivencia</t>
  </si>
  <si>
    <t>Número de Equipos de agentes cívicos creados.</t>
  </si>
  <si>
    <t>Número de intervenciones anuales de regulación, vigilancia y control del espacio público realizadas en los sitios de mayor ocupación y/o perturbación.</t>
  </si>
  <si>
    <t>Número de Jornadas de Recuperación y sensibilización sobre el buen uso del Espacio Público.</t>
  </si>
  <si>
    <t xml:space="preserve">Número de establecimientos de comercio visitados para verificación de cumplimiento de normas. </t>
  </si>
  <si>
    <t>Número de jornadas de sensibilización por contaminación de ruido a establecimientos comerciales realizados.</t>
  </si>
  <si>
    <t>Programa de control urbanístico y control de bordes formulado e implementado.</t>
  </si>
  <si>
    <t>Yumbo protege la vida y la sana convivencia</t>
  </si>
  <si>
    <t>Convivencia para vivir en paz.</t>
  </si>
  <si>
    <t>Operatividad de la comisaria de familia del Municipio, fortalecida.</t>
  </si>
  <si>
    <t>Número de jornadas descentralizadas de la comisaria de familia realizadas.</t>
  </si>
  <si>
    <t>Número de jóvenes en alto riesgo beneficiados con programa de resocialización integral.</t>
  </si>
  <si>
    <t>Número de Familias beneficiadas con el programa de inhumación de personas pobres de solemnidad y NN.</t>
  </si>
  <si>
    <t>Número de campañas cívicas de integración ciudadana con la fuerza pública desarrolladas.</t>
  </si>
  <si>
    <t>Número de jornadas de convivencia y seguridad dirigidas a jóvenes en el municipio de Yumbo realizadas.</t>
  </si>
  <si>
    <t>Yumbo Gestiona sus Riesgos</t>
  </si>
  <si>
    <t>Cultura de prevención y atención del riesgo.</t>
  </si>
  <si>
    <t>Número de Planes Escolares de Gestión del Riesgo y Atención de Desastres, implementados.</t>
  </si>
  <si>
    <t>Organismos de Socorro, con capacidad de planeación y operación.</t>
  </si>
  <si>
    <t xml:space="preserve">Estrategia de Respuesta Municipal al riesgo, implementada. </t>
  </si>
  <si>
    <t xml:space="preserve">Número de actividades y obras realizadas para la prevención del riesgo y protección de la infraestructura física. </t>
  </si>
  <si>
    <t>Entornos Seguros para población vulnerable</t>
  </si>
  <si>
    <t>Protección ciudadana.</t>
  </si>
  <si>
    <t>Número de seguimientos al medio familiar de la mujer víctima de violencia egresada de la modalidad de Hogar de Acogida, verificados.</t>
  </si>
  <si>
    <t xml:space="preserve">Número de mujeres víctimas de violencia  atendidas en el Hogar de Acogida, remitidas por las entidades competentes </t>
  </si>
  <si>
    <t>Número de seguimientos al  medio familiar de los niños, niñas y adolescentes víctimas de violencia egresados de la modalidad de Hogar de Paso, realizados</t>
  </si>
  <si>
    <t xml:space="preserve">Número de campañas de sensibilización frente a la erradicación del trabajo infantil, maltrato infantil, abuso y explotación laboral implementada. </t>
  </si>
  <si>
    <t>Yumbo Seguro es respeto y promoción de los DD.HH</t>
  </si>
  <si>
    <t>Promoción, protección y Defensa de los DDHH y el DIH</t>
  </si>
  <si>
    <t>Número de estrategias en defensa y promoción de los Derechos Humanos implementadas.</t>
  </si>
  <si>
    <t>Número de sesiones del Consejo Municipal de Cultura de Paz, Derechos Humanos y Derecho Internacional Humanitario realizados.</t>
  </si>
  <si>
    <t>Número de Acciones de Derechos Humanos a  las personas migrantes, refugiadas, apátridas y víctimas de la trata de personas.</t>
  </si>
  <si>
    <t>Prevención situacional del delito</t>
  </si>
  <si>
    <t>Yumbo Ciudad Inteligente.</t>
  </si>
  <si>
    <t>Número de semáforos del Municipio, modernizados.</t>
  </si>
  <si>
    <t>Número de luminarias en el territorio del Municipio de Yumbo, instaladas.</t>
  </si>
  <si>
    <t>Construcción de Puerto Seco en el Municipio de Yumbo, gestionado.</t>
  </si>
  <si>
    <t>YUMBO PRODUCTIVO</t>
  </si>
  <si>
    <t>Yumbo Rural y Productivo</t>
  </si>
  <si>
    <t>Vías rurales para la productividad</t>
  </si>
  <si>
    <t xml:space="preserve">Km de vías rurales intervenidas con actividades de mantenimiento. </t>
  </si>
  <si>
    <t>Km</t>
  </si>
  <si>
    <t>Km de vías rurales  intervenidas con actividades de rehabilitación.</t>
  </si>
  <si>
    <t xml:space="preserve"> Km de vías rurales  intervenidas con actividades de Mejoramiento.</t>
  </si>
  <si>
    <t>Km construidos de vías rurales integrados a la malla de movilidad del Municipio de Yumbo (Mangavieja-Miravalle Norte) (Pedregal- Sector Cachibi).</t>
  </si>
  <si>
    <t>El campo con Servicios Públicos de Calidad</t>
  </si>
  <si>
    <t>Número de sistemas de Acueducto Rurales con IRCA &lt;= 5 implementados.</t>
  </si>
  <si>
    <t>Número de sistemas de alcantarillado y PTAR rurales con diseño y construidas y entregadas para operación en la zona rural.</t>
  </si>
  <si>
    <t>Metros Lineales de red de alcantarillado construidos en la zona rural del Municipio de Yumbo</t>
  </si>
  <si>
    <t>Metros Lineales de red de alcantarillado con mantenimiento en la zona rural del Municipio de Yumbo</t>
  </si>
  <si>
    <t>Número de sistemas de alcantarillado y tratamiento entregadas por el Municipio de Yumbo para operación (Miravalle; La Carolina; Pilas de Dapa; El Rodadero; Rinconcito; Pedregal; Mulaló; 2 en San Marcos).</t>
  </si>
  <si>
    <t>Yumbo Industrial y Competitivo.</t>
  </si>
  <si>
    <t>Vías industriales para la competitividad</t>
  </si>
  <si>
    <t>Km de vías en zona industrial con actividades de mantenimiento, ejecutadas.</t>
  </si>
  <si>
    <t>Km de vías</t>
  </si>
  <si>
    <t>Km de vías zona industrial con actividades de rehabilitación, ejecutadas.</t>
  </si>
  <si>
    <t xml:space="preserve"> Km de vías zona industrial con actividades de mejoramiento, ejecutadas.</t>
  </si>
  <si>
    <t>Estudios para vías paralelas al corredor férreo de la zona industrial del Municipio de Yumbo, elaborado.</t>
  </si>
  <si>
    <t>Unidad</t>
  </si>
  <si>
    <t>La industria con Servicios Públicos de Calidad</t>
  </si>
  <si>
    <t>Número de PTAR de tratamiento construidas en la Zona Sur del Municipio de Yumbo.</t>
  </si>
  <si>
    <t>Metros lineales de colectores principales y emisor final construidos en la Zona Industrial del Municipio de Yumbo.</t>
  </si>
  <si>
    <t>Metros lineales</t>
  </si>
  <si>
    <t>Metros lineales de alcantarillado en la zona industrial (Acopi y Cencar), rehabilitados.</t>
  </si>
  <si>
    <t xml:space="preserve">Metros Lineales </t>
  </si>
  <si>
    <t>Metros Lineales de alcantarillado en la zona industrial, construidos.</t>
  </si>
  <si>
    <t>Yumbo Urbano, Renovado y Sostenible</t>
  </si>
  <si>
    <t>Yumbo, con Mejores Edificios Públicos</t>
  </si>
  <si>
    <t>Edificio de la Plaza de mercado renovado y mantenido.</t>
  </si>
  <si>
    <t xml:space="preserve">Secretaría de Infraestructura y Servicios Públicos </t>
  </si>
  <si>
    <t>Edificios Públicos renovados  y /o mantenidos (Camy; Complejo Titan; Umata; Comisaría de Familia; Centro Vida y 3 CDI</t>
  </si>
  <si>
    <t>Yumbo, con Servicios Públicos de calidad</t>
  </si>
  <si>
    <t>Número de sistemas de acueducto mejorados.</t>
  </si>
  <si>
    <t>o</t>
  </si>
  <si>
    <t>Plan Maestro de Acueducto formulado.</t>
  </si>
  <si>
    <t>Plan de gestión y contingencia para los servicios de acueducto y alcantarillado del Municipio de Yumbo, implementado</t>
  </si>
  <si>
    <t>Número de suscriptores de los estratos 1,2 y 3 con beneficio de subsidio de acueducto, alcantarillado y aseo.</t>
  </si>
  <si>
    <t>Plan Maestro de Alcantarillado elaborados.</t>
  </si>
  <si>
    <t>Metros lineales de la red de acueducto con reposición (MIB).</t>
  </si>
  <si>
    <t>Metros lineales de la red de alcantarillado con reposición (MIB).</t>
  </si>
  <si>
    <t>Número de eliminaciones de puntos de vertimiento colectivo en la zona urbana del Municipio de Yumbo.</t>
  </si>
  <si>
    <t>Metros lineales de reposición de canales y colectores programados en el PSMV de la zona urbana del municipio de Yumbo.</t>
  </si>
  <si>
    <t>Yumbo con Mejores vías para la movilidad</t>
  </si>
  <si>
    <t>Metros lineales de vías urbanas intervenidas con actividades de mantenimiento .</t>
  </si>
  <si>
    <t xml:space="preserve"> Metros lineales de vías urbanas intervenidas con actividades de rehabilitación.</t>
  </si>
  <si>
    <t xml:space="preserve"> Metros lineales de vías urbanas intervenidas con actividades de mejoramiento.</t>
  </si>
  <si>
    <t>Número de estudios y diseños de infraestructura vial (vías, puentes, vehiculares y peatonales).</t>
  </si>
  <si>
    <t>Vivienda Digna y Hábitat</t>
  </si>
  <si>
    <t>Vivienda nueva</t>
  </si>
  <si>
    <t>Número de subsidios para vivienda VIP y VIS nueva, adjudicados con enfoque diferencial.</t>
  </si>
  <si>
    <t xml:space="preserve">Número de predios, titulados. </t>
  </si>
  <si>
    <t>Territorio rural productivo, viable y sostenible</t>
  </si>
  <si>
    <t>Producción agropecuaria</t>
  </si>
  <si>
    <t>Número de pequeños y medianos productores agropecuarios inscritos en el RUAT en proceso de extensión agropecuaria.</t>
  </si>
  <si>
    <t>Toneladas de producto generado de pequeños y medianos productores agropecuarios.</t>
  </si>
  <si>
    <t>Ton</t>
  </si>
  <si>
    <t>Unidades de material vegetal reproducidas en el vivero municipal para los programas agropecuario y ambiental del municipio de yumbo, durante el cuatrenio 2020-2023.</t>
  </si>
  <si>
    <t>Número de Sistemas de cosecha y almacenamiento de agua Instalados y operativos.</t>
  </si>
  <si>
    <t>Fomento a la competitividad mediante encadenamientos productivos rurales</t>
  </si>
  <si>
    <t>Número de Grupos Asociativos productivos agropecuarios operativos en el Municipio de Yumbo, durante el cuatrienio 2020-2023.</t>
  </si>
  <si>
    <t>Número de Investigaciones realizadas mediante los comités de Investigación Agrícola Local CIAL.</t>
  </si>
  <si>
    <t>Número de toneladas de Productos comercializados.</t>
  </si>
  <si>
    <t>Número de Ton</t>
  </si>
  <si>
    <t>Competitividad, innovación, empleo de calidad e identidad territorial en Yumbo</t>
  </si>
  <si>
    <t>Emprendimiento</t>
  </si>
  <si>
    <t>Número de MIPYMES con asistencia técnica organizacional.</t>
  </si>
  <si>
    <t>Oficina de Desarrollo Económico</t>
  </si>
  <si>
    <t>Número de MIPYMES con asistencia técnica en la utilización de herramientas Tic.</t>
  </si>
  <si>
    <t>Número de proyectos con asistencia técnica en emprendimiento asociativo.</t>
  </si>
  <si>
    <t>Número de proyectos de innovación, tecnología y emprendimiento realizados con alumnos de las instituciones educativas del Municipio de Yumbo en el periodo 2020-2023.</t>
  </si>
  <si>
    <t>Número de proyectos de innovación, tecnología y emprendimiento realizados con MIPYMES del Municipio de Yumbo en el periodo 2020-2023.</t>
  </si>
  <si>
    <t>Número de nuevas empresas asentadas en el Municipio de Yumbo.</t>
  </si>
  <si>
    <t>Rutas para el emprendimiento de los adultos mayores implementada.</t>
  </si>
  <si>
    <t>Programa de emprendimiento dirigido a la población con discapacidad.</t>
  </si>
  <si>
    <t>Modelo de Economía Colaborativa estructurado e implementado.</t>
  </si>
  <si>
    <t>Alianzas de gestión de recursos para emprendedores con enfoque diferencial, Implementada.</t>
  </si>
  <si>
    <t>Empleo de calidad</t>
  </si>
  <si>
    <t>Número de personas vinculadas laboralmente mediante acompañamiento de la Unidad de Desarrollo Económico.</t>
  </si>
  <si>
    <t>Número de empleos de calidad logrados mediante gestión con las empresas de la zona industrial.</t>
  </si>
  <si>
    <t>Número de aprendices con asistencia técnica empresarial vinculados.</t>
  </si>
  <si>
    <t>Número de estudios de oferta y demanda laboral, actualizados.</t>
  </si>
  <si>
    <t>Proyectos productivos para la población vulnerable.</t>
  </si>
  <si>
    <t>Proyectos Productivos con inclusión</t>
  </si>
  <si>
    <t>Número de proyectos productivos generados con los grupos de población especial y en situación de vulnerabilidad.</t>
  </si>
  <si>
    <t>Número de proyectos productivos generados con emprendedores.</t>
  </si>
  <si>
    <t>Creemos en un Yumbo más productivo y competitivo</t>
  </si>
  <si>
    <t>Competencias para la Producción y la competitividad</t>
  </si>
  <si>
    <t>Número de personas en artes y oficios y emprendimiento, certificadas.</t>
  </si>
  <si>
    <t>Agencia Pública de Gestión y Colocación de Empleo, implementada.</t>
  </si>
  <si>
    <t>Fomento a la educación terciaria</t>
  </si>
  <si>
    <t>Fondo de Becas para la Educación Terciaria del Municipio de Yumbo, Creado.</t>
  </si>
  <si>
    <t>Número de Instituciones Educativas con Programas PREICFES, implementado.</t>
  </si>
  <si>
    <t>Número de Instituciones Educativas oficiales articuladas con Programas de Media Técnica.</t>
  </si>
  <si>
    <t>Proyecto Educativo Comunitario (PEC), con enfoque diferencial formulado.</t>
  </si>
  <si>
    <t>Proyecto Educativo Rural (PER), con enfoque diferencial formulado.</t>
  </si>
  <si>
    <t>Proyecto Educativo Institucional (PEI), con enfoque diferencial Ajustado.</t>
  </si>
  <si>
    <t>Sistema Integrado de Emprendimiento, creado e implementado.</t>
  </si>
  <si>
    <t>Banco de Oportunidades, gestionado.</t>
  </si>
  <si>
    <t>Mesa intersectorial empresarial, creada.</t>
  </si>
  <si>
    <t>Desarrollo Turístico</t>
  </si>
  <si>
    <t>Número rutas turísticas creadas.</t>
  </si>
  <si>
    <t>Número de emprendimientos turísticos con asistencia y acompañamiento técnico.</t>
  </si>
  <si>
    <t>Número de nuevos emprendimientos turísticos creados.</t>
  </si>
  <si>
    <t>Plan de turismo de impacto regional formulado e implementado.</t>
  </si>
  <si>
    <t>Implementar un modelo de turismo sostenible en las reservas nacionales del Municipio, fortaleciendo los procesos existentes.</t>
  </si>
  <si>
    <t>YUMBO CON GOBERNABILIDAD Y FORTALECIMIENTO INSTITUCIONAL</t>
  </si>
  <si>
    <t>Un Yumbo planificado</t>
  </si>
  <si>
    <r>
      <t>Gobernabilidad para el desempeño institucional</t>
    </r>
    <r>
      <rPr>
        <b/>
        <sz val="12"/>
        <color theme="1"/>
        <rFont val="Arial"/>
        <family val="2"/>
      </rPr>
      <t xml:space="preserve"> </t>
    </r>
  </si>
  <si>
    <t xml:space="preserve">Número de Planes Institucionales de Capacitación para los empleados públicos del municipio, implementados. </t>
  </si>
  <si>
    <t>Secretaría de Gestión Humana</t>
  </si>
  <si>
    <t>Numeros de líneas de acción del Sistema de Atención al Ciudadano en la administración central, implementados.</t>
  </si>
  <si>
    <t xml:space="preserve">Número de Familias de los empleados públicos beneficiadas con el Plan de Bienestar Institucional. </t>
  </si>
  <si>
    <t xml:space="preserve">Número de Servidores públicos beneficiados con el sistema de Gestión de la Seguridad y la salud en el Trabajo. </t>
  </si>
  <si>
    <t>Sistema de Seguimiento y Evaluación al Plan de Desarrollo Municipal, implementado.</t>
  </si>
  <si>
    <t xml:space="preserve">Número de Servidores Públicos beneficiados con jornadas de prevención de conductas disciplinables (Caso: COVID-19).  </t>
  </si>
  <si>
    <t>Oficina de Control Disciplinario</t>
  </si>
  <si>
    <t xml:space="preserve">Número de Salas de audiencias para aplicación del proceso disciplinario, implementadas. </t>
  </si>
  <si>
    <t>Proceso de auditoria tecnológicamente implementado.</t>
  </si>
  <si>
    <t>Oficina de Control Interno</t>
  </si>
  <si>
    <t>Política de Gobierno Digital, adoptada e  implementada.</t>
  </si>
  <si>
    <t>Política de prevención del daño antijurídico y defensa de los intereses del municipio, actualizada e implementada.</t>
  </si>
  <si>
    <t>Secretaría Jurídica</t>
  </si>
  <si>
    <t>Sistemas de información para la planeación estratégica, implementado.</t>
  </si>
  <si>
    <t>Numero de programa de BIG DATA (bodega de datos) implementado.</t>
  </si>
  <si>
    <t>Plataforma de información para el manejo de la reserva estadística implementada.</t>
  </si>
  <si>
    <t>Número de informes de los análisis a partir del lago de datos, implementado.</t>
  </si>
  <si>
    <t>Número de Redes multipropósito de alta velocidad para la conectividad municipal, formulada y desarrollada</t>
  </si>
  <si>
    <t>Municipio de Yumbo certificado ante la Comisión de Regulación de Comunicaciones (CRC) por eliminación de barreras al despliegue de infraestructura.</t>
  </si>
  <si>
    <t>Numero Servidores públicos para habilidades de teletrabajo capacitados y certificados.</t>
  </si>
  <si>
    <t xml:space="preserve">Número de Emisoras de interés público, urbanas y rurales. Implementadas. </t>
  </si>
  <si>
    <t>Componentes del datacenter y centro de cableado, actualizados.</t>
  </si>
  <si>
    <t>Numero de Salas inteligentes de telepresencia implementadas.</t>
  </si>
  <si>
    <t>Sala Inteligente de Gestión y manejo de Urgencias, Emergencias y Desastres impolementada.</t>
  </si>
  <si>
    <t>Infraestructura para el teletrabajo y trabajo colaborativo, implementada.</t>
  </si>
  <si>
    <t>Número de Infraestructuras tecnológicas para el cerco epidemiológico, desarrollada e implementada.</t>
  </si>
  <si>
    <t>Numero de Laboratorios de Excelencia e innovación tecnológica formulados e implementados.</t>
  </si>
  <si>
    <t xml:space="preserve">Puntos digitales correctamente, operando. </t>
  </si>
  <si>
    <t>Zonas wifi públicas correctamente, operando.</t>
  </si>
  <si>
    <t>Planeación territorial</t>
  </si>
  <si>
    <t>Plan de Ordenamiento Territorial, formulado y adoptado.</t>
  </si>
  <si>
    <t>Número de componentes del Expediente Municipal, actualizado.</t>
  </si>
  <si>
    <t>Número de etapas del proceso de revisión general de la estratificación urbana, realizadas.</t>
  </si>
  <si>
    <t>Lineamientos de Política Minera Municipal, construida.</t>
  </si>
  <si>
    <t>Número de Comunidades Mineras con procesos de fortalecimiento, desarrollados.</t>
  </si>
  <si>
    <t>Número de actualizaciones catastrales con enfoque multipropósito, realizadas.</t>
  </si>
  <si>
    <t>Gestión catastral en el municipio de yumbo, Habilitada e implementada.</t>
  </si>
  <si>
    <t xml:space="preserve">Número </t>
  </si>
  <si>
    <t>Número de actualizaciones de la Base de datos del Sisbén, realizadas.</t>
  </si>
  <si>
    <t>Sistema integral de Información, Monitoreo y Control Territorial Municipal, desarrollado</t>
  </si>
  <si>
    <t>Plataforma de potenciales beneficiados a programas institucionales, diseñada e implementada.</t>
  </si>
  <si>
    <t>Unidad de gobernanza de datos, creada.</t>
  </si>
  <si>
    <t>Unidad de formulación de proyectos estratégicos, creada.</t>
  </si>
  <si>
    <t>Estudio de estructuración de proyectos estratégicos urbanos, formulados y gestionados.</t>
  </si>
  <si>
    <t>Cartera morosa del municipio, recuperada.</t>
  </si>
  <si>
    <t>Pesos/Col</t>
  </si>
  <si>
    <t>Secretaría de Hacienda</t>
  </si>
  <si>
    <t>Expedientes tributarios, fiscalizados. </t>
  </si>
  <si>
    <t>Estrategia para impulsar la cultura tributaria a los contribuyentes, implementada.</t>
  </si>
  <si>
    <t>Banco de imágenes satelitales, aerofotografias y orthophotos del municipio creado e Implementado.</t>
  </si>
  <si>
    <t>Porcentaje de la Red de alertas tempranas para riesgos tecnológicos, inundaciones e incendios forestales implementada.</t>
  </si>
  <si>
    <t>Red Hidro sensórica y de calidad del aire, implementada.</t>
  </si>
  <si>
    <t>Número de estudios básicos para la incorporación de la gestión del riesgo bajo el normativo Decreto 1077 de 2015.</t>
  </si>
  <si>
    <t>Articulación Regional</t>
  </si>
  <si>
    <t>km de ciclo-ruta Yumbo-Cali gestionada</t>
  </si>
  <si>
    <t>Movilidad Deporte</t>
  </si>
  <si>
    <r>
      <t>Acciones de Mejoramiento de la Calidad del Agua del Rio Cauca</t>
    </r>
    <r>
      <rPr>
        <b/>
        <sz val="12"/>
        <color rgb="FF000000"/>
        <rFont val="Arial"/>
        <family val="2"/>
      </rPr>
      <t xml:space="preserve"> </t>
    </r>
    <r>
      <rPr>
        <sz val="12"/>
        <color rgb="FF000000"/>
        <rFont val="Arial"/>
        <family val="2"/>
      </rPr>
      <t>Índice de Calidad de Agua (ICA)</t>
    </r>
  </si>
  <si>
    <t>Ambiente Servicios Públicos Espacio Público</t>
  </si>
  <si>
    <t>Estudios de factibilidad para la localización de parques de reciclaje</t>
  </si>
  <si>
    <t>Ambiente Servicios Públicos</t>
  </si>
  <si>
    <t>Sistema de Información Geográfica para la Gestión Territorial Estandarizada desarrollado</t>
  </si>
  <si>
    <t>Seguridad infraestructura</t>
  </si>
  <si>
    <t>Convenio Interadministrativo suscrito</t>
  </si>
  <si>
    <t>Tren de cercanías</t>
  </si>
  <si>
    <r>
      <t>Institucionalidad para la</t>
    </r>
    <r>
      <rPr>
        <b/>
        <sz val="12"/>
        <color theme="1"/>
        <rFont val="Arial"/>
        <family val="2"/>
      </rPr>
      <t xml:space="preserve"> </t>
    </r>
    <r>
      <rPr>
        <sz val="12"/>
        <color theme="1"/>
        <rFont val="Arial"/>
        <family val="2"/>
      </rPr>
      <t>Gobernanza</t>
    </r>
  </si>
  <si>
    <t>Rediseño institucional implementado.</t>
  </si>
  <si>
    <t>Número de institucionalidad TIC municipal creada y articulada.</t>
  </si>
  <si>
    <t>Número de Unidades de información – Big Data creada y articulada.</t>
  </si>
  <si>
    <t>Número de Políticas de infraestructura de datos espaciales y datos con reserva adoptada.</t>
  </si>
  <si>
    <t>Formular un PETIC en el Municipio de Yumbo durante el periodo 2020-2023</t>
  </si>
  <si>
    <t xml:space="preserve">Número de iniciativas tecnológicas del PETIC 2020-2023 de la Administración central, implementada. </t>
  </si>
  <si>
    <t>Formular un PESPI en el Municipio de Yumbo durante el periodo 2020-2023</t>
  </si>
  <si>
    <t xml:space="preserve">Número de iniciativas tecnológicas del PESPI 2020-2023 de la administración central, implementada. </t>
  </si>
  <si>
    <t>Incrementar los tramites transformados digitalmente en el Municipio de Yumbo durante el cuatrenio 2020-2023</t>
  </si>
  <si>
    <t>Número de funcionarios y servidores públicos con capacidad para formular, diseñar, hacer seguimiento y evaluación proyectos de Ciencia Tecnología e Innovación.</t>
  </si>
  <si>
    <t>Unidad de formulación y sistema de información para proyectos estratégicos, creada.</t>
  </si>
  <si>
    <t>Número de Instancias de participación para el desarrollo rural, implementadas.</t>
  </si>
  <si>
    <t xml:space="preserve">Número de jornadas de reconocimiento de la identidad campesina municipal, desarrolladas. </t>
  </si>
  <si>
    <t>Número de Foros de Internacionalización de Yumbo realizado.</t>
  </si>
  <si>
    <t>Modelo de Participación Ciudadana y Gobierno Abierto, formulado y adoptado.</t>
  </si>
  <si>
    <t>Número de componentes de transparencia activa, implementados.</t>
  </si>
  <si>
    <t>Número de dependencias de la Alcaldía que reportan indicadores de Gobierno Abierto.</t>
  </si>
  <si>
    <t>Política de seguridad digital, creada.</t>
  </si>
  <si>
    <t xml:space="preserve">Número de Jornadas participativas de Seguimiento y Evaluación, lideradas por Consejo Territorial de Planeación. </t>
  </si>
  <si>
    <t xml:space="preserve">Instancias de prevención y coordinación de lucha contra la corrupción, fortalecida. </t>
  </si>
  <si>
    <t>Numero de Planes Estratégicos de Comunicaciones, implementados.</t>
  </si>
  <si>
    <t>Oficina de Prensa y Comunicaciones</t>
  </si>
  <si>
    <t>Número dignatarios y dignatarias comunales en ruta de formación empresarial, beneficiados.</t>
  </si>
  <si>
    <t>Número de dignatarios y dignatarias sociales y comunitarios con formación comunal permanente, beneficiados.</t>
  </si>
  <si>
    <t xml:space="preserve">Número de líderes y lideresas comunales en la escuela Formador de Formadores, participando. </t>
  </si>
  <si>
    <t>Oficina de acompañamiento para la Mujer, creada.</t>
  </si>
  <si>
    <t>Número de Planes de Acción Territorial para la atención y reparación integral a las víctimas del conflicto armado, formulado y actualizado.</t>
  </si>
  <si>
    <t>Número de caracterizaciones a la población víctima del conflicto armado, realizadas.</t>
  </si>
  <si>
    <t xml:space="preserve">Número de informes de Seguimiento a Comité Territorial de Justicia transicional, construidos. </t>
  </si>
  <si>
    <t>Número de informes de Seguimiento Jornadas los Subcomités técnicos de justicia transicional, construidos.</t>
  </si>
  <si>
    <t>Oficina de defensoría al Ciudadano en servicios de salud, creada.</t>
  </si>
  <si>
    <t>Número de informes de actualización de vacantes reportadas para concurso de méritos ante la Comisión Nacional del Servicio Civil, realizados.</t>
  </si>
  <si>
    <t>Número de personas en procesos de control social a la gestión pública, formadas.</t>
  </si>
  <si>
    <t>YUMBO ÉTNICO: INDÍGENAS</t>
  </si>
  <si>
    <t>Gobernanza étnica</t>
  </si>
  <si>
    <t xml:space="preserve">Plan de Gobernanza indígena </t>
  </si>
  <si>
    <t>Acompañamiento para la concertación y gestión de los componentes del Plan de Vida de los pueblos indígenas.</t>
  </si>
  <si>
    <t xml:space="preserve">Proyectos seguridad alimentaria indígena concertado y gestionado. </t>
  </si>
  <si>
    <t>Proyectos de manufactura indígena concertado y gestionado.</t>
  </si>
  <si>
    <t>Apoyo a la gestión de conformación de la AIC.</t>
  </si>
  <si>
    <t>Modelo de Medicina propia implementado.</t>
  </si>
  <si>
    <t xml:space="preserve">Apoyo a la gestión Fondo Álvaro Ulcue Choqué.  </t>
  </si>
  <si>
    <t>Secretaría de educación</t>
  </si>
  <si>
    <t>Acciones de Fortalecimiento organizativo al deporte.</t>
  </si>
  <si>
    <t>Modelo de Lengua propia fortalecido.</t>
  </si>
  <si>
    <t>Número de docentes con enfoque étnico indígena, formados.</t>
  </si>
  <si>
    <t>Número de Elementos didácticos (cartillas) con enfoque étnico indígena, fortalecidos.</t>
  </si>
  <si>
    <t>Se desarrollaron labores de diagnostico general para l ageneracion de actividades de rehabilitacion, mejoramiento y manteniemintos correctivos y preventivos de la insfraestructura artistica y cultural, se genrearon diferentes actividades de resane, dentro de ellas tercer piso todos los salones, arreglos pertinentes a medidas de bioseguridad. y mantenimiento general a la infraestructura de la biblioteca publica municipal ubicada en la carrera 5 y la sede de las cruces</t>
  </si>
  <si>
    <r>
      <t xml:space="preserve">Se desarrollaron actividades de programacion y planeacion para la ejecucion de las actividades pertinentes para la vigencia .
Capacitación en la Ley 1185 de 2008 donde se habla de Patrimonio Cultural de una Nación. Al igual se habla de Patrimonio Arqueológico, Patrimonio Material, Patrimonio Inmaterial y Patrimonio Arqueológico. 
</t>
    </r>
    <r>
      <rPr>
        <b/>
        <sz val="10"/>
        <color theme="1"/>
        <rFont val="Arial"/>
        <family val="2"/>
      </rPr>
      <t xml:space="preserve">Descripcionn de la actividad: </t>
    </r>
    <r>
      <rPr>
        <sz val="10"/>
        <color theme="1"/>
        <rFont val="Arial"/>
        <family val="2"/>
      </rPr>
      <t xml:space="preserve">Se envía la Ley del Patrimonio 1185 por WhatsApps a todos los estudiantes y que ademá de conocerla, que sepan que existe una Ley que protege nuestro Patrimonio. Los estudiantes tienen una responsabilidad como ciudadanos de Proteger, Salvaguardar, Recuperar, Sotener, Conservar y Divulgar el Patrimonio del Municipio de Yumbo.
</t>
    </r>
    <r>
      <rPr>
        <b/>
        <sz val="10"/>
        <color theme="1"/>
        <rFont val="Arial"/>
        <family val="2"/>
      </rPr>
      <t xml:space="preserve">Ejecutadas:
1/ Socialización de la Ley 1185 de 2008 protección y salvaguardia del Patrimonio Cultural para 27 colegios.
2/ Abril 23 Ley Patrimonio
3/ Junio 21 Ley Patrimonio
</t>
    </r>
  </si>
  <si>
    <r>
      <t xml:space="preserve">Se desarrollaron actividades de programacion y planeacion para la ejecucion de las actividades pertinentes para la vigencia.
</t>
    </r>
    <r>
      <rPr>
        <b/>
        <sz val="10"/>
        <color theme="1"/>
        <rFont val="Arial"/>
        <family val="2"/>
      </rPr>
      <t>Actividades Desarrolladas.</t>
    </r>
    <r>
      <rPr>
        <sz val="10"/>
        <color theme="1"/>
        <rFont val="Arial"/>
        <family val="2"/>
      </rPr>
      <t xml:space="preserve">
1</t>
    </r>
    <r>
      <rPr>
        <b/>
        <sz val="10"/>
        <color theme="1"/>
        <rFont val="Arial"/>
        <family val="2"/>
      </rPr>
      <t>/ Capacitación Historia de Yumbo:</t>
    </r>
    <r>
      <rPr>
        <sz val="10"/>
        <color theme="1"/>
        <rFont val="Arial"/>
        <family val="2"/>
      </rPr>
      <t xml:space="preserve">El objetivo es empezar a tejer la historia de Yumbo en una Línea de Tiempo. Donde se marquen las diferentes èpocas vividas en pro de la recuperaciòn de la memoria històtica del municipio.
</t>
    </r>
    <r>
      <rPr>
        <b/>
        <sz val="10"/>
        <color theme="1"/>
        <rFont val="Arial"/>
        <family val="2"/>
      </rPr>
      <t xml:space="preserve">2/Cuentos  para Colegios: </t>
    </r>
    <r>
      <rPr>
        <sz val="10"/>
        <color theme="1"/>
        <rFont val="Arial"/>
        <family val="2"/>
      </rPr>
      <t xml:space="preserve">Enviar cuentos a los colegios para que sean socializados con los estudiantes.,Se envía a los Profesores, coordinadores, rectores u Orientadores los temas pertinentes que tienen que ver con cuentos para socializar con los estudiantes. Estos a su vez lo envían a los Estudiantes y Padres de Familia. La idea es acercar a la lectura a los estudiantes, sabiendo que por esta época no hay bibliotecas abiertas y que adquirir un cuento es costoso.
</t>
    </r>
    <r>
      <rPr>
        <b/>
        <sz val="10"/>
        <color theme="1"/>
        <rFont val="Arial"/>
        <family val="2"/>
      </rPr>
      <t>3/Pintando la Historia:</t>
    </r>
    <r>
      <rPr>
        <sz val="10"/>
        <color theme="1"/>
        <rFont val="Arial"/>
        <family val="2"/>
      </rPr>
      <t>Enviar dibujos para que los estudiantes pinten y dibujen la historia del municipio de Yumbo. Se envía a los Profesores, coordinadores, rectores u Orientadores los temas pertinentes a pintar semanalmente. Estos a su vez reenvìan a sus estudiantes.</t>
    </r>
    <r>
      <rPr>
        <b/>
        <sz val="10"/>
        <color theme="1"/>
        <rFont val="Arial"/>
        <family val="2"/>
      </rPr>
      <t xml:space="preserve">
</t>
    </r>
  </si>
  <si>
    <t>Se realiza planeacion y programacion de acciones y PEI con el fin de garantizar clases en modalidad  alternancia para la formacion tecnica laboral. Se llevo acabo el desarrollo de los semestres 2 y 4 donde se logra el desarrollo de clases virtuales al inicio del semestre  y despues se procede a la alternancia. con el fin de garantizar a parte practica y la buena ejecucion del programa PEI, se graduan 11 alumnos.</t>
  </si>
  <si>
    <t>Se realiza convocatoria de estimulos creemos en la reactivacion cultura, donde se inicia con la socializacion de los diferentes manuales y procedimientos para la respectiva presentacion de los proyectos de parte d elos participantes.</t>
  </si>
  <si>
    <t>Resolucion convocatoria, manual convocatoria</t>
  </si>
  <si>
    <t>Se realiza concierto gospel donde participaln diferentes iglesias y cultos religiosos del municipio, con el fin de garantizar incluios y lograr extendernos con la participacion ciudadana. Esta se realiza de forma virtual en las instalacioes de instituto Municipal de Cultura de Yumbo.</t>
  </si>
  <si>
    <t>Evidencia fotograficas y grabacion en  redes sociales IMCY, Expedinete contractual</t>
  </si>
  <si>
    <t xml:space="preserve">Cumplimiento del cronograma trazado para los dos semestres  del año 2021 en su pensum académico de los semestres 2° y 4°, 1 y 3, finalizando cada semestre se debe de realizar las audiciones una en julio y la otra en diciembre,DESCRIPCION DE LA ACTIVIDAD En cada semestre se debe de realizar una audicion donde los estudiantes de 1,2,3,4  muestra, su trabajo realizado durante el periodo academico, con cada uno de sus maestros 
LUGAR DE LA ACTIVIDAD Auditorio del  Instituto Municipal de Cultura
FECHA DE LA ACTIVIDAD  12 de julio -2021 HORA DE LA ACTIVIDAD 5:00 PM
</t>
  </si>
  <si>
    <t xml:space="preserve">NOMBRE DE LA ACTIVIDAD  Actualización de carteleras informativas Institucionales del IMCY 
OBJETIVO DE LA ACTIVIDAD Informar eventos y actividades por medio de boletines, flayers,  circulares, entre otras 
DESCRIPCION DE LA ACTIVIDAD Reemplazar la información de las carteleras las cuales constan de: Boletines, flayers, circulares, entre otras.
(febrero) Durante el mes se publicaron 2  boletines de prensa con información actual de eventos  
(Marzo) Durante el mes se publicaron 7  boletines de prensa con información actual de eventos  
(Abril) Durante el mes se publicaron 3 boletines de prensa con información actual de eventos  
Mayo, Boletín 13 Botón PSE        
Mayo, Boletín 14 Aplazamiento del concurso de Danza en Parejas
Junio, Boletin 15, Inscripciones de Escuela de artes Integradas        
Junio, Boletín 16 Convocatiria Estímulos
Junio, Boletín 17 Inscripción Talleres de Formación Artística 
Junio, Boletín 18 Nueva fecha de Concurso de Danza por Parejas
Junio, Afiche actualizado del Concurso de Danza en Parejas
LUGAR DE LA ACTIVIDAD Entrada del IMCY, primer piso, segundo piso y tercer piso.  
</t>
  </si>
  <si>
    <t>Ficha FO-GA18</t>
  </si>
  <si>
    <t xml:space="preserve">OBJETIVO DE LA ACTIVIDAD  Mantener la página Web y redes de la entidad actualizada con información concerniente a eventos y actividades del IMCY     
DESCRIPCION DE LA ACTIVIDAD Estar en constante actualización de la página Web y redes  de la entidad en lo concerniente a: Información de los Boletines, flayers, circulares, entre otras. 
LUGAR DE LA ACTIVIDAD  Sitio Web www.imcy.gov.co 
Durante los meses de Febrero a Abril del 2021 realizaron 4  cambios en piezas publicitarias del Banner de la Pagina Web  y subió información en el Link de Noticias con  información actual de los eventos y noticias de la entidad. (12 Boletines de prensa). 
Durante el mes de mayo se realizó 2 cambios, mes de Junio del 2021 se  realizaron 2  cambios en piezas publicitarias del Banner de la Pagina Web  y subió información en el Link de Noticias con  información actual de los eventos y noticias de la entidad. (6 Boletines de prensa de Mayo a Junio).  
</t>
  </si>
  <si>
    <t xml:space="preserve">OBJETIVO DE LA ACTIVIDAD  Realizar boletines de prensa con el fin de mantener  informada la comunidad del Municipio de Yumbo sobre los eventos y programas que promueve la entidad 
DESCRIPCION DE LA ACTIVIDAD Estar sacando constantemente boletines de prensa con información concerniente a la entidad para ser enviados  a los diferentes medios de comunicación, carteleras, página web y redes sociales con que cuenta la entidad.
LUGAR DE LA ACTIVIDAD  Carteleras, Sitio Web www.imcy.gov.co , Redes Sociales y Medios de Comunicación   
Febrero se realizaron 2 boletines de prensa con información actual de los eventos y noticias de la entidad.        
Marzo se realizaron 7 boletines de prensa con información actual de los eventos y noticias de la entidad.        
Abril se realizaron 3 boletines de prensa con información actual de los eventos y noticias de la entidad.        
Mayo, Boletín 13 Botón PSE        
Mayo, Boletín 14 Aplazamiento del concurso de Danza en Parejas
Junio, Boletin 15, Inscripciones de Escuela de artes Integradas        
Junio, Boletín 16 Convocatiria Estímulos
Junio, Boletín 17 Inscripción Talleres 
Junio, Boletín 18 Nueva fecha de Concurso de Danza por Parejas
</t>
  </si>
  <si>
    <t xml:space="preserve">OBJETIVO DE LA ACTIVIDAD  Realizar piezas publicitarias que permitan una mejor promoción de los eventos y actividades del IMCY   
DESCRIPCION DE LA ACTIVIDAD Sacar piezas publicitarias con buena calidad de imagen y resolución las cuales se montan en la Página Web y Redes Sociales y algunas se imprimen
LUGAR DE LA ACTIVIDAD Carteleras, Sitio Web www.imcy.gov.co , Redes Sociales y Medios de Comunicación   
(Febrero) Se realizaron 3 piezas publicitarias que promosionan eventos y noticias de la entidad.  
(Marzo) Se realizaron 4 piezas publicitarias que promosionan eventos y noticias de la entidad.  
(Abril) Se realizaron 13 piezas publicitarias que promosionan eventos y noticias de la entidad.  
Mayo 29 piezas publicitarias; Noticultural en la web 1, fechas conmemorativas 9, Yumbo ilustrado 4, piezas informativas 5, piezas de Municipalidad 3, Cultura ciudadana 2, Jueves de Patrimonio 3, Concurso danza en parejas 1, Biblioteca Municipal 1.
Junio 44  piezas publicitarias; Noticultural en la web 2, Noticultural  fechas conmemorativas 5, Yumbo ilustrado 4, piezas informativas 6, Cultura ciudadana 3, Jueves de Patrimonio 4, Concurso danza en parejas 2, Biblioteca Municipal 6, Reactivación Cultural 6, Conversando con el IMCY 2, Escuela de Música 1, Talleres de Formación Artística 3
</t>
  </si>
  <si>
    <t xml:space="preserve">OBJETIVO DE LA ACTIVIDAD  Realizar comerciales en video que permitan la promoción de los eventos más importantes que realiza la entidad 
DESCRIPCION DE LA ACTIVIDAD Sacar comerciales publicitarios que tengan  buena calidad de imagen  para montan el la Pagina Web y Redes Sociales y enviara los medios de comunicación 
LUGAR DE LA ACTIVIDAD  Sitio Web www.imcy.gov.co , Redes Sociales y Medios de Comunicación   
Febrero Video emotivo del IMCY 
Marzo realizacion video campaña Cultura ciudadana espacios discapacitados CCY
Marzo se realizo video de la rendicion de cuentas de la vigencia 2020
Marzo Se realizo comercial que promociona el XV Concurso Nacional de Danza en Pareja IMCY 2021
En Mayo no se realizaron comerciales
En Junio no se realizaron comerciales
</t>
  </si>
  <si>
    <t>Con el fin de generar cumplimiento a la estrategia del plan decenal de cultura se generan las siguinetes Actividades:
1/ NOMBRE DE LA ACTIVIDAD
Día del Árbol OBJETIVO DE LA ACTIVIDAD
Fortalecimiento de la diversidad de expresiones culturales y la economía creativa mediante estrategias de Fomento y Difusión artística y cultural del Municipio de Yumbo. DESCRIPCION DE LA ACTIVIDAD
Celebrar el día del árbol también hace parte de nuestra cultura ambiental. Promovamos la protección de nuestro medio ambiente y la arborización de nuestro espacios. LUGAR DE LA ACTIVIDAD
Comuna 4 y barrio Lleras - Centro Cultural de Yumbo
-Jornada de embellecimiento con articulación de la UMATA, donde se realizó actividad de cultura ambiental la siembra de árboles frutales y plantas ornamentales en el Centro Cultural de Yumbo
2/NOMBRE DE LA ACTIVIDAD
Celebración día del niño “NO AL TRABAJO INFANTIL”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y ciudadano enfatizando en temáticas de promoción al NO TRABAJO INFANTIL LUGAR DE LA ACTIVIDAD
Comuna 4 y barrio Lleras - Centro Cultural de Yumbo
Hra. Inicio Hra. Fin Actividad
3:00 pm
3:30 pm
Iniciando esta actividad se realiza la entrega de un kit de bioseguridad para el cuidado y la protección de los niños adicional se le hace entrega de unos tickets para reclamar un kit escolar y su respectivo refrigerio.
3:30 pm
5:00 pm
Juegos tradicionales con material reciclable: Atreves de estos juegos tradicionales elaborados con material reciclable y mediante la lúdica los niños tengan conocimiento de valores culturales como la importancia del buen uso del material reciclable.
3:30 pm
5:00 pm
Brinca brinca e inflables: actividad de esparcimiento y complemento del goce y disfrute a través de la estrategia jugando aprendo. (Convivencia)
3/NOMBRE DE LA ACTIVIDAD
Actividad lúdica creativa de Cultura Ciudadana OBJETIVO DE LA ACTIVIDAD
Fortalecimiento de la diversidad de expresiones culturales y la economía creativa mediante estrategias de Fomento y Difusión artística y cultural del Municipio de Yumbo. DESCRIPCION DE LA ACTIVIDAD
Sensibilización de la población infantil, con el objetivo de fortalecer el comportamiento cívico y ciudadano enfatizando en la lúdica creativa. LUGAR DE LA ACTIVIDAD
Comuna 4 y barrio Lleras - Centro Cultural de Yumbo
Hra. Inicio Hra. Fin Actividad
3:00 pm
3:30 pm
Iniciando esta actividad se realiza la entrega de un kit de bioseguridad para el cuidado y la protección de los niños adicional se le hace entrega de unos tickets para reclamar un kit escolar y su respectivo refrigerio.
3:30 pm
5:00 pm
Juegos tradicionales con material reciclable: Atreves de estos juegos tradicionales elaborados con material reciclable y mediante la lúdica los niños tengan conocimiento de valores culturales como la importancia del buen uso del material reciclable.
3:30 pm
5:00 pm
Brinca brinca e inflables: actividad de esparcimiento y complemento del goce y disfrute a través de la estrategia jugando aprendo. (Convivencia)</t>
  </si>
  <si>
    <t xml:space="preserve">NOMBRE DE LA ACTIVIDAD  Sensibilizacion cuidado de los libros y herramientas de consulta bibliotecaria.
OBJETIVO DE LA ACTIVIDAD La Biblioteca publica municipal tiene como mision brindar y ofrecer servicios y recursos que se encuentren en optimas condiciones a los usuarios en general del municipio de Yumbo, Con el fin de impactar positivamente a la sociedad, llegando a diferentes segmentos como lo son Adultos, jovenes y niños de la poblacion que desee hacer uso de las instalaciones en beneficio personal y general, capacitar a todos los usuarios de manera adecuada para que manejen apropiadamente el material bibliografico y todos los recursos que se encuentren dentro de las instalaciones.
DESCRIPCION DE LA ACTIVIDAD Esta actividad se realiza con el fin de impactar a toda la comunidad del municipio de Yumbo, con el objetivo de proporcionarle a la poblacion los conocimientos necesarios sobre el correcto manejo y cuidado de los libros y asimismo el de las herramientas que se encuentran en las instalaciones de la biblioteca.
LUGAR DE LA ACTIVIDAD Biblioteca Publica Municipal de Yumbo
- VIDEO SENSIBILIZACION CUIDADO DE LIBROS (FAN PAGE IMCY) 
</t>
  </si>
  <si>
    <t xml:space="preserve">Se desempeñaron labores de planeacion para la ejecucion de la actividad de forma virtual.
NOMBRE DE LA ACTIVIDAD  GOTICAS DE LECTURA
OBJETIVO DE LA ACTIVIDAD La Biblioteca publica municipal de Yumbo tiene como mision brindar y ofrecer servicios y recursos que impacten positivamente a los niños, jovenes y adultos, Pero debido a la emergencia sanitaria actual, se buscara influir a una gran cantidad de comunidad mediante los recursos tecnologicos como los son redes sociales para que la poblacion de primera infancia se sensibilize sobre la importancia de la lectura.
DESCRIPCION DE LA ACTIVIDAD Esta actividad sera dirigida a los niños y niñas de la primera infancia, donde se vendran realizando lecturas virtuales con el fin de garantizar, insentivar  y crear un habito de lectura en nuestros niños y niñas, compartiendo en familia nuevos mundos por descubrir mediante un libro.
LUGAR DE LA ACTIVIDAD Biblioteca Publica Municipal de Yumbo
Goticas de Lectura “La liebre y la tortuga” (Fan page Imcy) (21/06/2021) 
Goticas de Lectura “El tigre y el raton” (Fan page Imcy) (08/06/2021)
</t>
  </si>
  <si>
    <t xml:space="preserve">Se desempeñaron labores de planeacion para la ejecucion de la actividad de forma virtual.
</t>
  </si>
  <si>
    <t xml:space="preserve">Se desempeñaron labores de planeacion para la ejecucion de la actividad de forma virtual.
OBJETIVO DE LA ACTIVIDAD La Biblioteca publica municipal tiene como mision brindar y ofrecer servicios y recursos que se encuentren en optimas condiciones a los usuarios en general del municipio de Yumbo, Con el fin de impactar positivamente a la sociedad, llegando a diferentes segmentos como lo son Adultos, jovenes y niños de la poblacion que desee hacer uso de las instalaciones en beneficio personal y general.
DESCRIPCION DE LA ACTIVIDAD Es una actividad social que permite a través de la entonación, pronunciación,ritmo y volumen de la voz darle vida y significado a un texto escrito para que la persona que escuche pueda sonar, imaginar o exteriorizar sus emociones y sentimientos. Esta actividad va dirigida a toda la comunidad  y poblacion estudiantil del municipio, a los asistentes de la sala infantil, de manera aleatoria o a solicitud de los niños o jovenes asistentes.
LUGAR DE LA ACTIVIDAD Biblioteca Publica Municipal de Yumbo
Lectura en Voz alta “Choko encuentra una mamá” (Fan page Imcy) (16/06/2021)
Lectura en Voz alta “Titeres la rana y la serpiente” (Fan page Imcy) (31/05/2021)
</t>
  </si>
  <si>
    <t xml:space="preserve">Se desempeñaron labores de planeacion para la ejecucion de la actividad de forma virtual.
OBJETIVO DE LA ACTIVIDAD La Biblioteca publica municipal tiene como mision brindar y ofrecer servicios y recursos que se encuentren en optimas condiciones a los usuarios en general del municipio de Yumbo, Con el fin de impactar positivamente a la sociedad, cuando los adultos insentivan en sus hijos habitos de lectura desde muy temprana edad se forman adultos responsables, con carácter, emocionalmente estables y creativos, ayudando a su formacion cognitiva y profesional.
DESCRIPCION DE LA ACTIVIDAD El cuento es una actividad didáctica llena de sentido que hay que planificar cuidadosamente. 
Si la llevamos a cabo convenientemente, ayudaremos al niño o el joven a introducirse en un mundo lleno de posibilidades que le llevará a ampliar su conocimiento y a desarrollar su imaginación. Los cuentos nos sirven para: 
• Inventarnos nuevos mundos 
• Jugar con las palabras 
• Conocer o imaginar nuevos personajes 
• Soñar despiertos 
• Divertirnos 
• Potenciar el pensamiento de una forma creativa.
Hora del Cuento “Violet y Finch”  (29/05/2021)
Hora del Cuento “ Tertulias de antaño” (28/06/2021)
</t>
  </si>
  <si>
    <t xml:space="preserve">OBJETIVO DE LA ACTIVIDAD La Biblioteca publica municipal de Yumbo tiene como objetivo, celebrar la semana del idioma con el fin de resaltar no solo la importancia de este, sino de enaltecer el trabajo de todos esos escritores que dejan nuestra española en alto, insentivando a la comunidad y en especial a los niños y jovenes a interesarse mas por la lectura y escritura, con el fin de que sean futuros escritores y lectores que dejen en alto el nombre de nuestro municipio.
DESCRIPCION DE LA ACTIVIDAD La semana del idioma es de suma importancia no solo para nuestro pais, sino para el mundo entero esta celebración se da con el fin de enaltecer los idiomas oficiales, desde su historia, cultura y sus usos. Esta fecha busca a su vez promover el gusto por la lectura y la correcta escritura de este idioma e incentivar a toda la poblacion profundizar en el maravillosos mundo de la lectura y escritura.
-Video invitacion a la semana del idioma publicado en la fan page Imcy (19/04/2021)
-Video Picni Literario “ El renacuajo paseador” (21/04/2021)
</t>
  </si>
  <si>
    <t xml:space="preserve">APROPIACION DEFINITIVA TRIM </t>
  </si>
  <si>
    <t xml:space="preserve">REGISTROS TRIM </t>
  </si>
  <si>
    <t>04.33.3301.1603.3301068.200036.2.3.3.05.09.001.18</t>
  </si>
  <si>
    <t xml:space="preserve">ESP.PUB SDO/2020 Entidades del gobierno </t>
  </si>
  <si>
    <t>04.33.3301.1603.3301053.200033.2.3.3.05.09.001.16</t>
  </si>
  <si>
    <t>EST.SDO/2020 Entidades del gobierno General</t>
  </si>
  <si>
    <t>04.33.3301.1603.3301053.200033.2.3.3.05.09.001.17</t>
  </si>
  <si>
    <t>04.33.3301.1603.3301071.200033.2.3.3.05.09.001.19</t>
  </si>
  <si>
    <t>EST.SDO/2020 Entidades del gobierno general</t>
  </si>
  <si>
    <t>Se Ejecutaron tareas de acondicionamiento de espacios adecuados y limpios, con el fin de garantizar y prestar  los servicios bibliotecario,
Se realizan labores de reactivacion , Donde  se generan actividades de apertura de la  biblioteca publica municipal y se acondicionan, se establecen todas las medidas y elementos de bioseguridad., donde se cocientiza al personal bibliotecario para los cuidados y recomendaciones que se deben tener en cuenta al momento de atencion con la comunidad.</t>
  </si>
  <si>
    <t>04.33.3301.1603.3301087.200034.2.3.3.05.09.001.20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</si>
</sst>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quot;$&quot;\ #,##0;[Red]\-&quot;$&quot;\ #,##0"/>
    <numFmt numFmtId="165" formatCode="_-* #,##0_-;\-* #,##0_-;_-* &quot;-&quot;_-;_-@_-"/>
    <numFmt numFmtId="166" formatCode="_-&quot;$&quot;\ * #,##0.00_-;\-&quot;$&quot;\ * #,##0.00_-;_-&quot;$&quot;\ * &quot;-&quot;??_-;_-@_-"/>
    <numFmt numFmtId="167" formatCode="_-* #,##0.00_-;\-* #,##0.00_-;_-* &quot;-&quot;??_-;_-@_-"/>
    <numFmt numFmtId="168" formatCode="_(&quot;$&quot;\ * #,##0.00_);_(&quot;$&quot;\ * \(#,##0.00\);_(&quot;$&quot;\ * &quot;-&quot;??_);_(@_)"/>
    <numFmt numFmtId="169" formatCode="d\-m;@"/>
    <numFmt numFmtId="170" formatCode="_-[$$-240A]\ * #,##0_-;\-[$$-240A]\ * #,##0_-;_-[$$-240A]\ * &quot;-&quot;??_-;_-@_-"/>
    <numFmt numFmtId="171" formatCode="_-* #,##0.00\ _€_-;\-* #,##0.00\ _€_-;_-* &quot;-&quot;??\ _€_-;_-@_-"/>
    <numFmt numFmtId="172" formatCode="_-&quot;$&quot;\ * #,##0_-;\-&quot;$&quot;\ * #,##0_-;_-&quot;$&quot;\ * &quot;-&quot;??_-;_-@_-"/>
    <numFmt numFmtId="173" formatCode="_-* #,##0_-;\-* #,##0_-;_-* &quot;-&quot;??_-;_-@_-"/>
    <numFmt numFmtId="174" formatCode="0.0%"/>
    <numFmt numFmtId="175" formatCode="_-* #,##0.000_-;\-* #,##0.000_-;_-* &quot;-&quot;??_-;_-@_-"/>
  </numFmts>
  <fonts count="25" x14ac:knownFonts="1">
    <font>
      <sz val="11"/>
      <color theme="1"/>
      <name val="Calibri"/>
      <family val="2"/>
      <scheme val="minor"/>
    </font>
    <font>
      <b/>
      <sz val="12"/>
      <color theme="1"/>
      <name val="Arial"/>
      <family val="2"/>
    </font>
    <font>
      <sz val="10"/>
      <color theme="1"/>
      <name val="Arial"/>
      <family val="2"/>
    </font>
    <font>
      <b/>
      <sz val="10"/>
      <color theme="1"/>
      <name val="Arial"/>
      <family val="2"/>
    </font>
    <font>
      <b/>
      <sz val="10"/>
      <color rgb="FF000000"/>
      <name val="Arial"/>
      <family val="2"/>
    </font>
    <font>
      <sz val="10"/>
      <name val="Arial"/>
      <family val="2"/>
    </font>
    <font>
      <b/>
      <sz val="10"/>
      <name val="Arial"/>
      <family val="2"/>
    </font>
    <font>
      <b/>
      <sz val="8"/>
      <color theme="0"/>
      <name val="Arial"/>
      <family val="2"/>
    </font>
    <font>
      <sz val="11"/>
      <color theme="1"/>
      <name val="Calibri"/>
      <family val="2"/>
      <scheme val="minor"/>
    </font>
    <font>
      <sz val="11"/>
      <color rgb="FF000000"/>
      <name val="Arial"/>
      <family val="2"/>
    </font>
    <font>
      <sz val="9"/>
      <color indexed="81"/>
      <name val="Tahoma"/>
      <family val="2"/>
    </font>
    <font>
      <b/>
      <sz val="9"/>
      <color indexed="81"/>
      <name val="Tahoma"/>
      <family val="2"/>
    </font>
    <font>
      <sz val="12"/>
      <color theme="1"/>
      <name val="Arial"/>
      <family val="2"/>
    </font>
    <font>
      <sz val="11"/>
      <color theme="1"/>
      <name val="Arial"/>
      <family val="2"/>
    </font>
    <font>
      <sz val="11"/>
      <name val="Arial"/>
      <family val="2"/>
    </font>
    <font>
      <sz val="12"/>
      <name val="Arial"/>
      <family val="2"/>
    </font>
    <font>
      <sz val="14"/>
      <color indexed="81"/>
      <name val="Tahoma"/>
      <family val="2"/>
    </font>
    <font>
      <sz val="10"/>
      <color rgb="FFFF0000"/>
      <name val="Arial"/>
      <family val="2"/>
    </font>
    <font>
      <b/>
      <sz val="10"/>
      <color rgb="FFFF0000"/>
      <name val="Arial"/>
      <family val="2"/>
    </font>
    <font>
      <b/>
      <sz val="16"/>
      <color theme="1"/>
      <name val="Arial"/>
      <family val="2"/>
    </font>
    <font>
      <b/>
      <sz val="12"/>
      <color rgb="FF000000"/>
      <name val="Arial"/>
      <family val="2"/>
    </font>
    <font>
      <sz val="12"/>
      <color rgb="FF000000"/>
      <name val="Arial"/>
      <family val="2"/>
    </font>
    <font>
      <sz val="12"/>
      <color rgb="FF262626"/>
      <name val="Arial"/>
      <family val="2"/>
    </font>
    <font>
      <vertAlign val="superscript"/>
      <sz val="12"/>
      <color rgb="FF000000"/>
      <name val="Arial"/>
      <family val="2"/>
    </font>
    <font>
      <sz val="12"/>
      <color rgb="FF00FF00"/>
      <name val="Arial"/>
      <family val="2"/>
    </font>
  </fonts>
  <fills count="2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F99"/>
        <bgColor indexed="64"/>
      </patternFill>
    </fill>
    <fill>
      <patternFill patternType="solid">
        <fgColor rgb="FFFF9999"/>
        <bgColor indexed="64"/>
      </patternFill>
    </fill>
    <fill>
      <patternFill patternType="solid">
        <fgColor rgb="FF66FF66"/>
        <bgColor indexed="64"/>
      </patternFill>
    </fill>
    <fill>
      <patternFill patternType="solid">
        <fgColor rgb="FF66CCFF"/>
        <bgColor indexed="64"/>
      </patternFill>
    </fill>
    <fill>
      <patternFill patternType="solid">
        <fgColor rgb="FF00FF00"/>
        <bgColor indexed="64"/>
      </patternFill>
    </fill>
    <fill>
      <patternFill patternType="solid">
        <fgColor theme="5" tint="0.79998168889431442"/>
        <bgColor indexed="64"/>
      </patternFill>
    </fill>
    <fill>
      <patternFill patternType="solid">
        <fgColor rgb="FFCC99FF"/>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16">
    <xf numFmtId="0" fontId="0" fillId="0" borderId="0"/>
    <xf numFmtId="0" fontId="5" fillId="0" borderId="0"/>
    <xf numFmtId="44" fontId="8"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167" fontId="5"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0" fontId="5" fillId="0" borderId="0"/>
    <xf numFmtId="167"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cellStyleXfs>
  <cellXfs count="523">
    <xf numFmtId="0" fontId="0" fillId="0" borderId="0" xfId="0"/>
    <xf numFmtId="0" fontId="1" fillId="2" borderId="1" xfId="0" applyFont="1" applyFill="1" applyBorder="1" applyAlignment="1"/>
    <xf numFmtId="0" fontId="2" fillId="2" borderId="3" xfId="0" applyFont="1" applyFill="1" applyBorder="1"/>
    <xf numFmtId="0" fontId="2" fillId="2" borderId="3" xfId="0" applyFont="1" applyFill="1" applyBorder="1" applyAlignment="1">
      <alignment vertical="center"/>
    </xf>
    <xf numFmtId="0" fontId="2" fillId="2" borderId="3" xfId="0" applyFont="1" applyFill="1" applyBorder="1" applyAlignment="1">
      <alignment wrapText="1"/>
    </xf>
    <xf numFmtId="0" fontId="2" fillId="2" borderId="4" xfId="0" applyFont="1" applyFill="1" applyBorder="1" applyAlignment="1">
      <alignment vertical="center"/>
    </xf>
    <xf numFmtId="0" fontId="2" fillId="2" borderId="0" xfId="0" applyFont="1" applyFill="1" applyBorder="1"/>
    <xf numFmtId="0" fontId="2" fillId="2" borderId="0" xfId="0" applyFont="1" applyFill="1" applyBorder="1" applyAlignment="1">
      <alignment vertical="center"/>
    </xf>
    <xf numFmtId="0" fontId="2" fillId="2" borderId="0" xfId="0" applyFont="1" applyFill="1" applyBorder="1" applyAlignment="1">
      <alignment wrapText="1"/>
    </xf>
    <xf numFmtId="0" fontId="2" fillId="2" borderId="5" xfId="0" applyFont="1" applyFill="1" applyBorder="1" applyAlignment="1">
      <alignment vertical="center"/>
    </xf>
    <xf numFmtId="9" fontId="6" fillId="3" borderId="1" xfId="0" applyNumberFormat="1"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4" borderId="2" xfId="1"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9" fontId="6" fillId="4" borderId="2" xfId="0" applyNumberFormat="1" applyFont="1" applyFill="1" applyBorder="1" applyAlignment="1" applyProtection="1">
      <alignment horizontal="center" vertical="center" wrapText="1"/>
      <protection locked="0"/>
    </xf>
    <xf numFmtId="169" fontId="5" fillId="4" borderId="2" xfId="0" applyNumberFormat="1"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5" fillId="4" borderId="2" xfId="0" applyFont="1" applyFill="1" applyBorder="1" applyAlignment="1" applyProtection="1">
      <alignment horizontal="center" vertical="center" wrapText="1"/>
      <protection locked="0"/>
    </xf>
    <xf numFmtId="170" fontId="5" fillId="4" borderId="2" xfId="0" applyNumberFormat="1" applyFont="1" applyFill="1" applyBorder="1" applyAlignment="1" applyProtection="1">
      <alignment horizontal="center" vertical="center" wrapText="1"/>
      <protection locked="0"/>
    </xf>
    <xf numFmtId="0" fontId="2" fillId="0" borderId="0" xfId="0" applyFont="1"/>
    <xf numFmtId="0" fontId="7" fillId="4" borderId="0" xfId="0" applyFont="1" applyFill="1" applyAlignment="1">
      <alignment horizontal="lef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wrapText="1"/>
    </xf>
    <xf numFmtId="0" fontId="1" fillId="2" borderId="1"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vertical="center" wrapText="1"/>
    </xf>
    <xf numFmtId="0" fontId="6" fillId="3" borderId="8" xfId="1" applyFont="1" applyFill="1" applyBorder="1" applyAlignment="1" applyProtection="1">
      <alignment horizontal="center" vertical="center" wrapText="1"/>
      <protection locked="0"/>
    </xf>
    <xf numFmtId="9" fontId="6" fillId="3" borderId="2" xfId="1" applyNumberFormat="1" applyFont="1" applyFill="1" applyBorder="1" applyAlignment="1" applyProtection="1">
      <alignment horizontal="center" vertical="center" wrapText="1"/>
      <protection locked="0"/>
    </xf>
    <xf numFmtId="9" fontId="6" fillId="3" borderId="2" xfId="0" applyNumberFormat="1" applyFont="1" applyFill="1" applyBorder="1" applyAlignment="1" applyProtection="1">
      <alignment horizontal="center" vertical="center" wrapText="1"/>
      <protection locked="0"/>
    </xf>
    <xf numFmtId="170" fontId="5" fillId="3" borderId="2" xfId="0"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3" fillId="3" borderId="8" xfId="0"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2" xfId="1" applyFont="1" applyFill="1" applyBorder="1" applyAlignment="1" applyProtection="1">
      <alignment horizontal="center" vertical="center" wrapText="1"/>
      <protection locked="0"/>
    </xf>
    <xf numFmtId="169" fontId="5" fillId="3" borderId="2"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3" fillId="3" borderId="8" xfId="0" applyFont="1" applyFill="1" applyBorder="1" applyAlignment="1">
      <alignment horizontal="center" vertical="center" wrapText="1"/>
    </xf>
    <xf numFmtId="0" fontId="6" fillId="3" borderId="8"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9" fontId="2" fillId="0" borderId="1" xfId="13" applyFont="1" applyFill="1" applyBorder="1" applyAlignment="1">
      <alignment horizontal="center" vertical="center" wrapText="1"/>
    </xf>
    <xf numFmtId="9" fontId="3" fillId="0" borderId="1" xfId="13"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13" fillId="0" borderId="1" xfId="0" applyFont="1" applyFill="1" applyBorder="1" applyAlignment="1">
      <alignment horizontal="left" vertical="top" wrapText="1"/>
    </xf>
    <xf numFmtId="0" fontId="2" fillId="0" borderId="4" xfId="0" quotePrefix="1" applyFont="1" applyFill="1" applyBorder="1" applyAlignment="1" applyProtection="1">
      <alignment horizontal="left" vertical="top" wrapText="1"/>
      <protection locked="0"/>
    </xf>
    <xf numFmtId="166" fontId="2" fillId="0" borderId="4" xfId="14" applyFont="1" applyFill="1" applyBorder="1" applyAlignment="1" applyProtection="1">
      <alignment horizontal="left" vertical="top" wrapText="1"/>
      <protection locked="0"/>
    </xf>
    <xf numFmtId="166" fontId="2" fillId="0" borderId="9" xfId="14" applyFont="1" applyFill="1" applyBorder="1" applyAlignment="1" applyProtection="1">
      <alignment horizontal="left" vertical="top" wrapText="1"/>
      <protection locked="0"/>
    </xf>
    <xf numFmtId="166" fontId="13" fillId="0" borderId="1" xfId="14" applyFont="1" applyFill="1" applyBorder="1" applyAlignment="1">
      <alignment horizontal="left" vertical="top" wrapText="1"/>
    </xf>
    <xf numFmtId="166" fontId="2" fillId="0" borderId="1" xfId="14" applyFont="1" applyFill="1" applyBorder="1" applyAlignment="1">
      <alignment horizontal="center" vertical="center" wrapText="1"/>
    </xf>
    <xf numFmtId="166" fontId="2" fillId="0" borderId="16" xfId="14" applyFont="1" applyFill="1" applyBorder="1" applyAlignment="1">
      <alignment horizontal="center" vertical="center" wrapText="1"/>
    </xf>
    <xf numFmtId="0" fontId="2" fillId="0" borderId="1" xfId="0" applyFont="1" applyFill="1" applyBorder="1" applyAlignment="1" applyProtection="1">
      <alignment horizontal="left" vertical="top" wrapText="1"/>
      <protection locked="0"/>
    </xf>
    <xf numFmtId="166" fontId="2" fillId="0" borderId="1" xfId="14" applyFont="1" applyFill="1" applyBorder="1" applyAlignment="1" applyProtection="1">
      <alignment horizontal="left" vertical="top" wrapText="1"/>
      <protection locked="0"/>
    </xf>
    <xf numFmtId="0" fontId="2" fillId="0" borderId="1" xfId="0" quotePrefix="1" applyFont="1" applyFill="1" applyBorder="1" applyAlignment="1" applyProtection="1">
      <alignment horizontal="left" vertical="top" wrapText="1"/>
      <protection locked="0"/>
    </xf>
    <xf numFmtId="166" fontId="2" fillId="0" borderId="4" xfId="14" applyFont="1" applyFill="1" applyBorder="1" applyAlignment="1" applyProtection="1">
      <alignment horizontal="left" vertical="top" wrapText="1"/>
      <protection locked="0"/>
    </xf>
    <xf numFmtId="0" fontId="2" fillId="0" borderId="0" xfId="0" applyFont="1" applyBorder="1" applyAlignment="1">
      <alignment vertical="center"/>
    </xf>
    <xf numFmtId="9" fontId="2" fillId="0" borderId="4" xfId="13" applyFont="1" applyFill="1" applyBorder="1" applyAlignment="1" applyProtection="1">
      <alignment horizontal="center" vertical="center" wrapText="1"/>
      <protection locked="0"/>
    </xf>
    <xf numFmtId="0" fontId="2" fillId="0" borderId="9" xfId="0" quotePrefix="1" applyFont="1" applyFill="1" applyBorder="1" applyAlignment="1" applyProtection="1">
      <alignment horizontal="left" vertical="top" wrapText="1"/>
      <protection locked="0"/>
    </xf>
    <xf numFmtId="0" fontId="13" fillId="0" borderId="1" xfId="0" quotePrefix="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9" xfId="0" applyFont="1" applyFill="1" applyBorder="1" applyAlignment="1">
      <alignment horizontal="left" vertical="top" wrapText="1"/>
    </xf>
    <xf numFmtId="0" fontId="2" fillId="0" borderId="9" xfId="0" applyFont="1" applyFill="1" applyBorder="1" applyAlignment="1">
      <alignment vertical="center" wrapText="1"/>
    </xf>
    <xf numFmtId="166" fontId="2" fillId="0" borderId="9" xfId="14" applyFont="1" applyFill="1" applyBorder="1" applyAlignment="1">
      <alignment vertical="center" wrapText="1"/>
    </xf>
    <xf numFmtId="0" fontId="2" fillId="0" borderId="1" xfId="0"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9" fontId="2" fillId="0" borderId="9" xfId="13" applyFont="1" applyFill="1" applyBorder="1" applyAlignment="1" applyProtection="1">
      <alignment horizontal="center" vertical="center" wrapText="1"/>
      <protection locked="0"/>
    </xf>
    <xf numFmtId="0" fontId="3"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pplyProtection="1">
      <alignment horizontal="left" vertical="center" wrapText="1"/>
      <protection locked="0"/>
    </xf>
    <xf numFmtId="166" fontId="5" fillId="0" borderId="1" xfId="14" applyFont="1" applyFill="1" applyBorder="1" applyAlignment="1">
      <alignment horizontal="center" vertical="center" wrapText="1"/>
    </xf>
    <xf numFmtId="166" fontId="5" fillId="0" borderId="9" xfId="14" applyFont="1" applyFill="1" applyBorder="1" applyAlignment="1">
      <alignment vertical="center" wrapText="1"/>
    </xf>
    <xf numFmtId="166" fontId="5" fillId="0" borderId="4" xfId="14" applyFont="1" applyFill="1" applyBorder="1" applyAlignment="1" applyProtection="1">
      <alignment horizontal="left" vertical="top" wrapText="1"/>
      <protection locked="0"/>
    </xf>
    <xf numFmtId="166" fontId="5" fillId="0" borderId="1" xfId="14" applyFont="1" applyFill="1" applyBorder="1" applyAlignment="1" applyProtection="1">
      <alignment horizontal="left" vertical="top" wrapText="1"/>
      <protection locked="0"/>
    </xf>
    <xf numFmtId="166" fontId="5" fillId="0" borderId="9" xfId="14" applyFont="1" applyFill="1" applyBorder="1" applyAlignment="1" applyProtection="1">
      <alignment horizontal="left" vertical="top" wrapText="1"/>
      <protection locked="0"/>
    </xf>
    <xf numFmtId="166" fontId="14" fillId="0" borderId="1" xfId="14" applyFont="1" applyFill="1" applyBorder="1" applyAlignment="1">
      <alignment horizontal="left" vertical="top" wrapText="1"/>
    </xf>
    <xf numFmtId="172" fontId="5" fillId="0" borderId="1" xfId="14" applyNumberFormat="1" applyFont="1" applyFill="1" applyBorder="1" applyAlignment="1">
      <alignment horizontal="center" vertical="center" wrapText="1"/>
    </xf>
    <xf numFmtId="166" fontId="2" fillId="0" borderId="6" xfId="14" applyFont="1" applyFill="1" applyBorder="1" applyAlignment="1">
      <alignment horizontal="center" vertical="center" wrapText="1"/>
    </xf>
    <xf numFmtId="0" fontId="12" fillId="0" borderId="1" xfId="0" applyFont="1" applyFill="1" applyBorder="1" applyAlignment="1">
      <alignment horizontal="center" vertical="center" wrapText="1"/>
    </xf>
    <xf numFmtId="9" fontId="13" fillId="0" borderId="1" xfId="13" applyFont="1" applyFill="1" applyBorder="1" applyAlignment="1">
      <alignment horizontal="center" vertical="center" wrapText="1"/>
    </xf>
    <xf numFmtId="0" fontId="2" fillId="0" borderId="4"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166" fontId="5" fillId="0" borderId="4" xfId="14" applyFont="1" applyFill="1" applyBorder="1" applyAlignment="1" applyProtection="1">
      <alignment horizontal="center" vertical="center" wrapText="1"/>
      <protection locked="0"/>
    </xf>
    <xf numFmtId="9" fontId="5" fillId="0" borderId="4" xfId="13" applyFont="1" applyFill="1" applyBorder="1" applyAlignment="1" applyProtection="1">
      <alignment horizontal="center" vertical="center" wrapText="1"/>
      <protection locked="0"/>
    </xf>
    <xf numFmtId="9" fontId="5" fillId="0" borderId="3" xfId="13"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166" fontId="5" fillId="0" borderId="1" xfId="14" applyFont="1" applyFill="1" applyBorder="1" applyAlignment="1" applyProtection="1">
      <alignment horizontal="center" vertical="center" wrapText="1"/>
      <protection locked="0"/>
    </xf>
    <xf numFmtId="166" fontId="5" fillId="0" borderId="9" xfId="14" applyFont="1" applyFill="1" applyBorder="1" applyAlignment="1" applyProtection="1">
      <alignment horizontal="center" vertical="center" wrapText="1"/>
      <protection locked="0"/>
    </xf>
    <xf numFmtId="166" fontId="14" fillId="0" borderId="1" xfId="14"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166" fontId="5" fillId="0" borderId="16" xfId="14" applyFont="1" applyFill="1" applyBorder="1" applyAlignment="1">
      <alignment horizontal="center" vertical="center" wrapText="1"/>
    </xf>
    <xf numFmtId="9" fontId="5" fillId="0" borderId="16" xfId="13" applyFont="1" applyFill="1" applyBorder="1" applyAlignment="1">
      <alignment horizontal="center" vertical="center" wrapText="1"/>
    </xf>
    <xf numFmtId="9" fontId="5" fillId="0" borderId="20" xfId="13" applyFont="1" applyFill="1" applyBorder="1" applyAlignment="1">
      <alignment horizontal="center" vertical="center" wrapText="1"/>
    </xf>
    <xf numFmtId="9" fontId="5" fillId="0" borderId="6" xfId="13" applyFont="1" applyFill="1" applyBorder="1" applyAlignment="1" applyProtection="1">
      <alignment horizontal="center" vertical="center" wrapText="1"/>
      <protection locked="0"/>
    </xf>
    <xf numFmtId="9" fontId="5" fillId="0" borderId="14" xfId="13" applyFont="1" applyFill="1" applyBorder="1" applyAlignment="1" applyProtection="1">
      <alignment horizontal="center" vertical="center" wrapText="1"/>
      <protection locked="0"/>
    </xf>
    <xf numFmtId="9" fontId="2" fillId="0" borderId="0" xfId="0" applyNumberFormat="1" applyFont="1" applyFill="1" applyAlignment="1">
      <alignment horizontal="center" vertical="center"/>
    </xf>
    <xf numFmtId="166" fontId="5" fillId="0" borderId="9" xfId="14" applyFont="1" applyFill="1" applyBorder="1" applyAlignment="1">
      <alignment horizontal="center" vertical="center" wrapText="1"/>
    </xf>
    <xf numFmtId="0" fontId="2" fillId="6" borderId="4" xfId="0" quotePrefix="1" applyFont="1" applyFill="1" applyBorder="1" applyAlignment="1" applyProtection="1">
      <alignment horizontal="left" vertical="top" wrapText="1"/>
      <protection locked="0"/>
    </xf>
    <xf numFmtId="0" fontId="2" fillId="6" borderId="1" xfId="0" quotePrefix="1" applyFont="1" applyFill="1" applyBorder="1" applyAlignment="1" applyProtection="1">
      <alignment horizontal="left" vertical="top" wrapText="1"/>
      <protection locked="0"/>
    </xf>
    <xf numFmtId="0" fontId="2" fillId="6" borderId="9" xfId="0" quotePrefix="1" applyFont="1" applyFill="1" applyBorder="1" applyAlignment="1" applyProtection="1">
      <alignment horizontal="left" vertical="top" wrapText="1"/>
      <protection locked="0"/>
    </xf>
    <xf numFmtId="0" fontId="13" fillId="6" borderId="1" xfId="0" quotePrefix="1" applyFont="1" applyFill="1" applyBorder="1" applyAlignment="1">
      <alignment horizontal="left" vertical="top" wrapText="1"/>
    </xf>
    <xf numFmtId="0" fontId="2" fillId="7" borderId="1" xfId="0" quotePrefix="1" applyFont="1" applyFill="1" applyBorder="1" applyAlignment="1">
      <alignment horizontal="center" vertical="center" wrapText="1"/>
    </xf>
    <xf numFmtId="0" fontId="2" fillId="7" borderId="9" xfId="0" quotePrefix="1" applyFont="1" applyFill="1" applyBorder="1" applyAlignment="1">
      <alignment vertical="center" wrapText="1"/>
    </xf>
    <xf numFmtId="0" fontId="2" fillId="8" borderId="1" xfId="0" quotePrefix="1" applyFont="1" applyFill="1" applyBorder="1" applyAlignment="1">
      <alignment horizontal="center" vertical="center" wrapText="1"/>
    </xf>
    <xf numFmtId="0" fontId="2" fillId="8" borderId="2" xfId="0" quotePrefix="1" applyFont="1" applyFill="1" applyBorder="1" applyAlignment="1">
      <alignment vertical="center" wrapText="1"/>
    </xf>
    <xf numFmtId="0" fontId="2" fillId="0" borderId="1" xfId="0" applyFont="1" applyFill="1" applyBorder="1" applyAlignment="1">
      <alignment vertical="center" wrapText="1"/>
    </xf>
    <xf numFmtId="166" fontId="2" fillId="0" borderId="1" xfId="14" applyFont="1" applyFill="1" applyBorder="1" applyAlignment="1">
      <alignment vertical="center" wrapText="1"/>
    </xf>
    <xf numFmtId="166" fontId="5" fillId="0" borderId="1" xfId="14" applyFont="1" applyFill="1" applyBorder="1" applyAlignment="1">
      <alignment vertical="center" wrapText="1"/>
    </xf>
    <xf numFmtId="0" fontId="2" fillId="9" borderId="1" xfId="0" quotePrefix="1" applyFont="1" applyFill="1" applyBorder="1" applyAlignment="1">
      <alignment horizontal="center" vertical="center" wrapText="1"/>
    </xf>
    <xf numFmtId="0" fontId="2" fillId="10" borderId="1" xfId="0" quotePrefix="1" applyFont="1" applyFill="1" applyBorder="1" applyAlignment="1">
      <alignment horizontal="center" vertical="center" wrapText="1"/>
    </xf>
    <xf numFmtId="0" fontId="2" fillId="11" borderId="1" xfId="0" quotePrefix="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9" xfId="0" applyFont="1" applyFill="1" applyBorder="1" applyAlignment="1">
      <alignment vertical="center" wrapText="1"/>
    </xf>
    <xf numFmtId="0" fontId="2" fillId="12" borderId="2" xfId="0" applyFont="1" applyFill="1" applyBorder="1" applyAlignment="1">
      <alignment horizontal="center" vertical="center" wrapText="1"/>
    </xf>
    <xf numFmtId="0" fontId="2" fillId="13" borderId="16" xfId="0" quotePrefix="1"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4" borderId="9" xfId="0" quotePrefix="1" applyFont="1" applyFill="1" applyBorder="1" applyAlignment="1" applyProtection="1">
      <alignment horizontal="left" vertical="top" wrapText="1"/>
      <protection locked="0"/>
    </xf>
    <xf numFmtId="0" fontId="13" fillId="14" borderId="1" xfId="0" quotePrefix="1" applyFont="1" applyFill="1" applyBorder="1" applyAlignment="1">
      <alignment horizontal="left" vertical="top" wrapText="1"/>
    </xf>
    <xf numFmtId="0" fontId="2" fillId="14" borderId="1" xfId="0" quotePrefix="1" applyFont="1" applyFill="1" applyBorder="1" applyAlignment="1">
      <alignment horizontal="center" vertical="center" wrapText="1"/>
    </xf>
    <xf numFmtId="0" fontId="2" fillId="15" borderId="1" xfId="0" quotePrefix="1" applyFont="1" applyFill="1" applyBorder="1" applyAlignment="1">
      <alignment horizontal="center" vertical="center" wrapText="1"/>
    </xf>
    <xf numFmtId="166" fontId="3" fillId="13" borderId="1" xfId="0" applyNumberFormat="1" applyFont="1" applyFill="1" applyBorder="1" applyAlignment="1">
      <alignment vertical="center"/>
    </xf>
    <xf numFmtId="9" fontId="3" fillId="13" borderId="1" xfId="0" applyNumberFormat="1" applyFont="1" applyFill="1" applyBorder="1" applyAlignment="1">
      <alignment vertical="center"/>
    </xf>
    <xf numFmtId="9" fontId="3" fillId="13" borderId="1" xfId="13" applyNumberFormat="1" applyFont="1" applyFill="1" applyBorder="1" applyAlignment="1">
      <alignment vertical="center"/>
    </xf>
    <xf numFmtId="0" fontId="3" fillId="0" borderId="1" xfId="0" applyFont="1" applyFill="1" applyBorder="1" applyAlignment="1">
      <alignment horizontal="left" vertical="center" wrapText="1"/>
    </xf>
    <xf numFmtId="0" fontId="2" fillId="12" borderId="1" xfId="0" applyFont="1" applyFill="1" applyBorder="1" applyAlignment="1">
      <alignment vertical="center" wrapText="1"/>
    </xf>
    <xf numFmtId="0" fontId="2" fillId="11" borderId="1" xfId="0" quotePrefix="1" applyFont="1" applyFill="1" applyBorder="1" applyAlignment="1">
      <alignment vertical="center" wrapText="1"/>
    </xf>
    <xf numFmtId="0" fontId="2" fillId="0" borderId="1" xfId="0" quotePrefix="1" applyFont="1" applyFill="1" applyBorder="1" applyAlignment="1">
      <alignment vertical="center" wrapText="1"/>
    </xf>
    <xf numFmtId="9" fontId="2" fillId="13" borderId="1" xfId="13" applyFont="1" applyFill="1" applyBorder="1" applyAlignment="1">
      <alignment horizontal="center" vertical="center" wrapText="1"/>
    </xf>
    <xf numFmtId="166" fontId="2" fillId="0" borderId="9" xfId="14" applyNumberFormat="1" applyFont="1" applyFill="1" applyBorder="1" applyAlignment="1" applyProtection="1">
      <alignment horizontal="left" vertical="top" wrapText="1"/>
      <protection locked="0"/>
    </xf>
    <xf numFmtId="166" fontId="2" fillId="0" borderId="0" xfId="0" applyNumberFormat="1" applyFont="1" applyAlignment="1">
      <alignment vertical="center"/>
    </xf>
    <xf numFmtId="166" fontId="5" fillId="13" borderId="1" xfId="14" applyFont="1" applyFill="1" applyBorder="1" applyAlignment="1">
      <alignment horizontal="center" vertical="center" wrapText="1"/>
    </xf>
    <xf numFmtId="166" fontId="5" fillId="13" borderId="16" xfId="14" applyFont="1" applyFill="1" applyBorder="1" applyAlignment="1">
      <alignment horizontal="center" vertical="center" wrapText="1"/>
    </xf>
    <xf numFmtId="166" fontId="2" fillId="13" borderId="1" xfId="14" applyFont="1" applyFill="1" applyBorder="1" applyAlignment="1">
      <alignment horizontal="center" vertical="center" wrapText="1"/>
    </xf>
    <xf numFmtId="166" fontId="3" fillId="13" borderId="0" xfId="0" applyNumberFormat="1" applyFont="1" applyFill="1" applyAlignment="1">
      <alignment vertical="center"/>
    </xf>
    <xf numFmtId="9" fontId="3" fillId="13" borderId="1" xfId="13" applyFont="1" applyFill="1" applyBorder="1" applyAlignment="1">
      <alignment horizontal="center" vertical="center" wrapText="1"/>
    </xf>
    <xf numFmtId="9" fontId="3" fillId="0" borderId="1" xfId="13" applyFont="1" applyFill="1" applyBorder="1" applyAlignment="1">
      <alignment horizontal="center" vertical="center" wrapText="1"/>
    </xf>
    <xf numFmtId="0" fontId="17" fillId="0" borderId="0" xfId="0" applyFont="1" applyFill="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8" fillId="3" borderId="2" xfId="1" applyFont="1" applyFill="1" applyBorder="1" applyAlignment="1" applyProtection="1">
      <alignment horizontal="center" vertical="center" wrapText="1"/>
      <protection locked="0"/>
    </xf>
    <xf numFmtId="0" fontId="18" fillId="4" borderId="2" xfId="1" applyFont="1" applyFill="1" applyBorder="1" applyAlignment="1" applyProtection="1">
      <alignment horizontal="center" vertical="center" wrapText="1"/>
      <protection locked="0"/>
    </xf>
    <xf numFmtId="167" fontId="3" fillId="13" borderId="1" xfId="12" applyFont="1" applyFill="1" applyBorder="1" applyAlignment="1">
      <alignment horizontal="center" vertical="center" wrapText="1"/>
    </xf>
    <xf numFmtId="167" fontId="3" fillId="0" borderId="1" xfId="12"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9" xfId="0" applyFont="1" applyFill="1" applyBorder="1" applyAlignment="1">
      <alignment horizontal="center" vertical="center" wrapText="1"/>
    </xf>
    <xf numFmtId="9" fontId="3" fillId="0" borderId="1" xfId="13" applyFont="1" applyFill="1" applyBorder="1" applyAlignment="1">
      <alignment horizontal="center" vertical="center" wrapText="1"/>
    </xf>
    <xf numFmtId="9" fontId="6" fillId="3" borderId="3" xfId="0" applyNumberFormat="1" applyFont="1" applyFill="1" applyBorder="1" applyAlignment="1" applyProtection="1">
      <alignment horizontal="center" vertical="center" wrapText="1"/>
      <protection locked="0"/>
    </xf>
    <xf numFmtId="9" fontId="6" fillId="3" borderId="0" xfId="0" applyNumberFormat="1" applyFont="1" applyFill="1" applyBorder="1" applyAlignment="1" applyProtection="1">
      <alignment horizontal="center" vertical="center" wrapText="1"/>
      <protection locked="0"/>
    </xf>
    <xf numFmtId="0" fontId="12" fillId="0" borderId="0" xfId="0" applyFont="1" applyFill="1"/>
    <xf numFmtId="0" fontId="12" fillId="0" borderId="0" xfId="0" applyFont="1" applyFill="1" applyAlignment="1">
      <alignment vertical="center"/>
    </xf>
    <xf numFmtId="0" fontId="12" fillId="0" borderId="0" xfId="0" applyFont="1" applyFill="1" applyAlignment="1">
      <alignment wrapText="1"/>
    </xf>
    <xf numFmtId="0" fontId="12" fillId="0" borderId="0" xfId="0" applyFont="1" applyFill="1" applyAlignment="1">
      <alignment horizontal="center" vertical="center"/>
    </xf>
    <xf numFmtId="0" fontId="12" fillId="0" borderId="0" xfId="0" applyFont="1" applyFill="1" applyAlignment="1">
      <alignment horizontal="center"/>
    </xf>
    <xf numFmtId="0" fontId="12" fillId="0" borderId="0" xfId="0" applyFont="1"/>
    <xf numFmtId="0" fontId="19" fillId="0" borderId="0" xfId="0" applyFont="1" applyFill="1"/>
    <xf numFmtId="0" fontId="1" fillId="17" borderId="1" xfId="0" applyFont="1" applyFill="1" applyBorder="1" applyAlignment="1">
      <alignment horizontal="center" vertical="center"/>
    </xf>
    <xf numFmtId="0" fontId="1" fillId="16" borderId="1" xfId="0" applyFont="1" applyFill="1" applyBorder="1" applyAlignment="1">
      <alignment horizontal="center" vertical="center"/>
    </xf>
    <xf numFmtId="0" fontId="20"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0" borderId="1" xfId="0" applyFont="1" applyBorder="1" applyAlignment="1">
      <alignment vertical="center" wrapText="1"/>
    </xf>
    <xf numFmtId="0" fontId="1" fillId="16" borderId="1" xfId="0" applyFont="1" applyFill="1" applyBorder="1" applyAlignment="1">
      <alignment vertical="center" wrapText="1"/>
    </xf>
    <xf numFmtId="0" fontId="12" fillId="0" borderId="1" xfId="0" applyFont="1" applyBorder="1" applyAlignment="1">
      <alignment vertical="center" wrapText="1"/>
    </xf>
    <xf numFmtId="0" fontId="21" fillId="0" borderId="1" xfId="0" applyFont="1" applyBorder="1" applyAlignment="1">
      <alignment vertical="top" wrapText="1"/>
    </xf>
    <xf numFmtId="0" fontId="21" fillId="0" borderId="1" xfId="0" applyFont="1" applyBorder="1" applyAlignment="1">
      <alignment horizontal="center" vertical="center" wrapText="1"/>
    </xf>
    <xf numFmtId="0" fontId="12" fillId="0" borderId="1" xfId="0" applyFont="1" applyBorder="1" applyAlignment="1">
      <alignment vertical="top" wrapText="1"/>
    </xf>
    <xf numFmtId="0" fontId="12" fillId="16" borderId="1" xfId="0" applyFont="1" applyFill="1" applyBorder="1"/>
    <xf numFmtId="0" fontId="21" fillId="0" borderId="1" xfId="0" applyFont="1" applyBorder="1" applyAlignment="1">
      <alignment horizontal="justify"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12" fillId="0" borderId="1" xfId="0" applyFont="1" applyBorder="1" applyAlignment="1">
      <alignment vertical="top"/>
    </xf>
    <xf numFmtId="9" fontId="12"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0" fontId="21" fillId="0" borderId="1" xfId="0" applyFont="1" applyBorder="1" applyAlignment="1">
      <alignment horizontal="justify" vertical="top"/>
    </xf>
    <xf numFmtId="0" fontId="21" fillId="0" borderId="1" xfId="0" applyFont="1" applyBorder="1" applyAlignment="1">
      <alignment horizontal="center" vertical="top"/>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3" fontId="12" fillId="0" borderId="1" xfId="0" applyNumberFormat="1" applyFont="1" applyBorder="1" applyAlignment="1">
      <alignment horizontal="center" vertical="center" wrapText="1"/>
    </xf>
    <xf numFmtId="0" fontId="12" fillId="0" borderId="1" xfId="0" applyFont="1" applyBorder="1"/>
    <xf numFmtId="165" fontId="12" fillId="16" borderId="1" xfId="15" applyFont="1" applyFill="1" applyBorder="1" applyAlignment="1">
      <alignment horizontal="center" vertical="center"/>
    </xf>
    <xf numFmtId="0" fontId="12" fillId="0" borderId="1" xfId="0" applyFont="1" applyBorder="1" applyAlignment="1">
      <alignment vertical="center"/>
    </xf>
    <xf numFmtId="0" fontId="21" fillId="18" borderId="1" xfId="0" applyFont="1" applyFill="1" applyBorder="1" applyAlignment="1">
      <alignment horizontal="center" vertical="center" wrapText="1"/>
    </xf>
    <xf numFmtId="0" fontId="21" fillId="18" borderId="1" xfId="0" applyFont="1" applyFill="1" applyBorder="1" applyAlignment="1">
      <alignment horizontal="justify" vertical="center" wrapText="1"/>
    </xf>
    <xf numFmtId="0" fontId="22" fillId="18" borderId="1" xfId="0" applyFont="1" applyFill="1" applyBorder="1" applyAlignment="1">
      <alignment horizontal="center" vertical="center" wrapText="1"/>
    </xf>
    <xf numFmtId="0" fontId="21" fillId="19"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1" fillId="0" borderId="1" xfId="0" applyFont="1" applyBorder="1" applyAlignment="1">
      <alignment wrapText="1"/>
    </xf>
    <xf numFmtId="0" fontId="1" fillId="16" borderId="1" xfId="0" applyFont="1" applyFill="1" applyBorder="1" applyAlignment="1">
      <alignment wrapText="1"/>
    </xf>
    <xf numFmtId="3" fontId="21" fillId="0" borderId="1" xfId="0" applyNumberFormat="1" applyFont="1" applyBorder="1" applyAlignment="1">
      <alignment horizontal="center" vertical="center" wrapText="1"/>
    </xf>
    <xf numFmtId="0" fontId="12" fillId="0" borderId="1" xfId="0" applyFont="1" applyBorder="1" applyAlignment="1">
      <alignment wrapText="1"/>
    </xf>
    <xf numFmtId="0" fontId="12" fillId="18" borderId="1" xfId="0" applyFont="1" applyFill="1" applyBorder="1" applyAlignment="1">
      <alignment horizontal="center" vertical="center" wrapText="1"/>
    </xf>
    <xf numFmtId="174" fontId="12" fillId="16" borderId="1" xfId="13" applyNumberFormat="1" applyFont="1" applyFill="1" applyBorder="1"/>
    <xf numFmtId="9" fontId="12" fillId="16" borderId="1" xfId="13" applyFont="1" applyFill="1" applyBorder="1"/>
    <xf numFmtId="3" fontId="21" fillId="18" borderId="1" xfId="0" applyNumberFormat="1" applyFont="1" applyFill="1" applyBorder="1" applyAlignment="1">
      <alignment horizontal="justify" vertical="center" wrapText="1"/>
    </xf>
    <xf numFmtId="3" fontId="21" fillId="18"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xf numFmtId="0" fontId="1" fillId="16" borderId="1" xfId="0" applyFont="1" applyFill="1" applyBorder="1"/>
    <xf numFmtId="0" fontId="12" fillId="0" borderId="1" xfId="0" applyFont="1" applyBorder="1" applyAlignment="1">
      <alignment horizontal="left" vertical="center" wrapText="1"/>
    </xf>
    <xf numFmtId="0" fontId="21" fillId="0" borderId="1" xfId="0" applyFont="1" applyBorder="1" applyAlignment="1">
      <alignment vertical="center" wrapText="1"/>
    </xf>
    <xf numFmtId="3" fontId="21" fillId="0" borderId="1" xfId="0" applyNumberFormat="1" applyFont="1" applyBorder="1" applyAlignment="1">
      <alignment horizontal="justify" vertical="center" wrapText="1"/>
    </xf>
    <xf numFmtId="166" fontId="12" fillId="16" borderId="1" xfId="14" applyFont="1" applyFill="1" applyBorder="1" applyAlignment="1">
      <alignment horizontal="center" vertical="center"/>
    </xf>
    <xf numFmtId="172" fontId="12" fillId="16" borderId="1" xfId="14" applyNumberFormat="1" applyFont="1" applyFill="1" applyBorder="1" applyAlignment="1">
      <alignment horizontal="center" vertical="center"/>
    </xf>
    <xf numFmtId="166" fontId="12" fillId="16"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 fillId="16" borderId="1" xfId="0" applyFont="1" applyFill="1" applyBorder="1" applyAlignment="1">
      <alignment horizontal="left" vertical="center" wrapText="1"/>
    </xf>
    <xf numFmtId="0" fontId="1" fillId="16" borderId="1" xfId="0" applyFont="1" applyFill="1" applyBorder="1" applyAlignment="1">
      <alignment horizontal="left" vertical="top" wrapText="1"/>
    </xf>
    <xf numFmtId="0" fontId="12" fillId="16" borderId="1" xfId="0" quotePrefix="1" applyFont="1" applyFill="1" applyBorder="1" applyAlignment="1">
      <alignment horizontal="center" vertical="center" wrapText="1"/>
    </xf>
    <xf numFmtId="166" fontId="12" fillId="16" borderId="1" xfId="14" applyFont="1" applyFill="1" applyBorder="1"/>
    <xf numFmtId="0" fontId="21" fillId="0" borderId="1" xfId="0" applyFont="1" applyBorder="1" applyAlignment="1">
      <alignment wrapText="1"/>
    </xf>
    <xf numFmtId="9" fontId="12" fillId="0" borderId="1" xfId="0" applyNumberFormat="1" applyFont="1" applyBorder="1" applyAlignment="1">
      <alignment horizontal="center" vertical="center" wrapText="1"/>
    </xf>
    <xf numFmtId="0" fontId="12" fillId="0" borderId="1" xfId="0" applyFont="1" applyBorder="1" applyAlignment="1">
      <alignment horizontal="left" vertical="center"/>
    </xf>
    <xf numFmtId="0" fontId="21" fillId="18" borderId="1" xfId="0" applyFont="1" applyFill="1" applyBorder="1" applyAlignment="1">
      <alignment vertical="center" wrapText="1"/>
    </xf>
    <xf numFmtId="0" fontId="22" fillId="18"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12" fillId="0" borderId="1" xfId="0" applyFont="1" applyBorder="1" applyAlignment="1">
      <alignment horizontal="center" vertical="center"/>
    </xf>
    <xf numFmtId="0" fontId="12" fillId="16" borderId="1" xfId="0" applyFont="1" applyFill="1" applyBorder="1" applyAlignment="1">
      <alignment horizontal="center"/>
    </xf>
    <xf numFmtId="0" fontId="12" fillId="16" borderId="1" xfId="0" applyFont="1" applyFill="1" applyBorder="1" applyAlignment="1">
      <alignment vertical="center"/>
    </xf>
    <xf numFmtId="164" fontId="21" fillId="18" borderId="1" xfId="0" applyNumberFormat="1" applyFont="1" applyFill="1" applyBorder="1" applyAlignment="1">
      <alignment horizontal="center" vertical="center" wrapText="1"/>
    </xf>
    <xf numFmtId="0" fontId="1" fillId="16" borderId="1" xfId="0" applyFont="1" applyFill="1" applyBorder="1" applyAlignment="1">
      <alignment vertical="center"/>
    </xf>
    <xf numFmtId="0" fontId="21" fillId="0" borderId="1" xfId="0" applyFont="1" applyBorder="1" applyAlignment="1">
      <alignment horizontal="left" vertical="center" wrapText="1"/>
    </xf>
    <xf numFmtId="0" fontId="12" fillId="16" borderId="0" xfId="0" applyFont="1" applyFill="1"/>
    <xf numFmtId="0" fontId="12" fillId="0" borderId="0" xfId="0" applyFont="1" applyAlignment="1">
      <alignment vertical="center"/>
    </xf>
    <xf numFmtId="0" fontId="12" fillId="0" borderId="0" xfId="0" applyFont="1" applyAlignment="1">
      <alignment wrapText="1"/>
    </xf>
    <xf numFmtId="0" fontId="12" fillId="16" borderId="0" xfId="0" applyFont="1" applyFill="1" applyAlignment="1">
      <alignment horizontal="center" vertical="center"/>
    </xf>
    <xf numFmtId="0" fontId="12" fillId="16" borderId="0" xfId="0" applyFont="1" applyFill="1" applyAlignment="1">
      <alignment horizontal="center"/>
    </xf>
    <xf numFmtId="166" fontId="12" fillId="16" borderId="0" xfId="0" applyNumberFormat="1" applyFont="1" applyFill="1"/>
    <xf numFmtId="166" fontId="12" fillId="16" borderId="0" xfId="14" applyFont="1" applyFill="1"/>
    <xf numFmtId="172" fontId="12" fillId="16" borderId="0" xfId="14" applyNumberFormat="1" applyFont="1" applyFill="1"/>
    <xf numFmtId="172" fontId="12" fillId="16" borderId="0" xfId="0" applyNumberFormat="1" applyFont="1" applyFill="1"/>
    <xf numFmtId="0" fontId="1" fillId="16" borderId="0" xfId="0" applyFont="1" applyFill="1" applyAlignment="1">
      <alignment horizontal="right"/>
    </xf>
    <xf numFmtId="166" fontId="1" fillId="16" borderId="0" xfId="14" applyFont="1" applyFill="1"/>
    <xf numFmtId="174" fontId="2" fillId="0" borderId="4" xfId="13" applyNumberFormat="1" applyFont="1" applyFill="1" applyBorder="1" applyAlignment="1" applyProtection="1">
      <alignment horizontal="center" vertical="center" wrapText="1"/>
      <protection locked="0"/>
    </xf>
    <xf numFmtId="174" fontId="2" fillId="0" borderId="9" xfId="13" applyNumberFormat="1" applyFont="1" applyFill="1" applyBorder="1" applyAlignment="1" applyProtection="1">
      <alignment horizontal="center" vertical="center" wrapText="1"/>
      <protection locked="0"/>
    </xf>
    <xf numFmtId="0" fontId="2" fillId="19" borderId="1" xfId="0" applyFont="1" applyFill="1" applyBorder="1" applyAlignment="1">
      <alignment horizontal="center" vertical="center" wrapText="1"/>
    </xf>
    <xf numFmtId="174" fontId="2" fillId="0" borderId="1" xfId="13" applyNumberFormat="1" applyFont="1" applyFill="1" applyBorder="1" applyAlignment="1">
      <alignment horizontal="center" vertical="center" wrapText="1"/>
    </xf>
    <xf numFmtId="10" fontId="2" fillId="0" borderId="1" xfId="13" applyNumberFormat="1" applyFont="1" applyFill="1" applyBorder="1" applyAlignment="1">
      <alignment horizontal="center" vertical="center" wrapText="1"/>
    </xf>
    <xf numFmtId="10" fontId="3" fillId="0" borderId="1" xfId="13" applyNumberFormat="1" applyFont="1" applyFill="1" applyBorder="1" applyAlignment="1">
      <alignment horizontal="center" vertical="center" wrapText="1"/>
    </xf>
    <xf numFmtId="174" fontId="2" fillId="13" borderId="1" xfId="13" applyNumberFormat="1" applyFont="1" applyFill="1" applyBorder="1" applyAlignment="1">
      <alignment horizontal="center" vertical="center" wrapText="1"/>
    </xf>
    <xf numFmtId="0" fontId="3" fillId="9" borderId="1" xfId="0" applyFont="1" applyFill="1" applyBorder="1" applyAlignment="1">
      <alignment horizontal="left" vertical="top" wrapText="1"/>
    </xf>
    <xf numFmtId="174" fontId="3" fillId="9" borderId="1" xfId="13" applyNumberFormat="1" applyFont="1" applyFill="1" applyBorder="1" applyAlignment="1">
      <alignment horizontal="center" vertical="center" wrapText="1"/>
    </xf>
    <xf numFmtId="9" fontId="3" fillId="9" borderId="1" xfId="13" applyFont="1" applyFill="1" applyBorder="1" applyAlignment="1">
      <alignment horizontal="center" vertical="center" wrapText="1"/>
    </xf>
    <xf numFmtId="0" fontId="6" fillId="9" borderId="1" xfId="0" applyFont="1" applyFill="1" applyBorder="1" applyAlignment="1">
      <alignment horizontal="left" vertical="top" wrapText="1"/>
    </xf>
    <xf numFmtId="174" fontId="6" fillId="9" borderId="1" xfId="13" applyNumberFormat="1" applyFont="1" applyFill="1" applyBorder="1" applyAlignment="1">
      <alignment horizontal="center" vertical="center" wrapText="1"/>
    </xf>
    <xf numFmtId="10" fontId="3" fillId="9" borderId="1" xfId="13" applyNumberFormat="1"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10" fontId="2" fillId="0" borderId="9" xfId="13" applyNumberFormat="1" applyFont="1" applyFill="1" applyBorder="1" applyAlignment="1">
      <alignment vertical="center" wrapText="1"/>
    </xf>
    <xf numFmtId="0" fontId="3" fillId="9" borderId="9" xfId="0" applyFont="1" applyFill="1" applyBorder="1" applyAlignment="1">
      <alignment horizontal="left" vertical="top" wrapText="1"/>
    </xf>
    <xf numFmtId="9" fontId="3" fillId="9" borderId="9" xfId="13" applyFont="1" applyFill="1" applyBorder="1" applyAlignment="1">
      <alignment horizontal="center" vertical="center" wrapText="1"/>
    </xf>
    <xf numFmtId="9" fontId="2" fillId="9" borderId="1" xfId="13" applyFont="1" applyFill="1" applyBorder="1" applyAlignment="1">
      <alignment horizontal="center" vertical="center" wrapText="1"/>
    </xf>
    <xf numFmtId="0" fontId="2" fillId="0" borderId="2" xfId="0" applyFont="1" applyFill="1" applyBorder="1" applyAlignment="1">
      <alignment horizontal="center" vertical="center" wrapText="1"/>
    </xf>
    <xf numFmtId="166" fontId="5" fillId="0" borderId="2" xfId="14" applyFont="1" applyFill="1" applyBorder="1" applyAlignment="1">
      <alignment horizontal="center" vertical="center" wrapText="1"/>
    </xf>
    <xf numFmtId="166" fontId="2" fillId="0" borderId="2" xfId="14" applyFont="1" applyFill="1" applyBorder="1" applyAlignment="1">
      <alignment horizontal="center" vertical="center" wrapText="1"/>
    </xf>
    <xf numFmtId="166" fontId="2" fillId="0" borderId="0" xfId="14" applyFont="1" applyAlignment="1">
      <alignment vertical="center"/>
    </xf>
    <xf numFmtId="166" fontId="2" fillId="0" borderId="0" xfId="0" applyNumberFormat="1" applyFont="1" applyBorder="1" applyAlignment="1">
      <alignment vertical="center"/>
    </xf>
    <xf numFmtId="166" fontId="5" fillId="0" borderId="1" xfId="14" quotePrefix="1" applyFont="1" applyFill="1" applyBorder="1" applyAlignment="1">
      <alignment horizontal="center" vertical="center" wrapText="1"/>
    </xf>
    <xf numFmtId="166" fontId="2" fillId="0" borderId="1" xfId="14" quotePrefix="1" applyFont="1" applyFill="1" applyBorder="1" applyAlignment="1">
      <alignment horizontal="center" vertical="center" wrapText="1"/>
    </xf>
    <xf numFmtId="0" fontId="5" fillId="0" borderId="3" xfId="13" applyNumberFormat="1" applyFont="1" applyFill="1" applyBorder="1" applyAlignment="1" applyProtection="1">
      <alignment horizontal="center" vertical="center" wrapText="1"/>
      <protection locked="0"/>
    </xf>
    <xf numFmtId="166" fontId="14" fillId="0" borderId="1" xfId="14" applyFont="1" applyFill="1" applyBorder="1" applyAlignment="1">
      <alignment horizontal="left" vertical="center" wrapText="1"/>
    </xf>
    <xf numFmtId="9" fontId="2" fillId="0" borderId="9" xfId="13" applyFont="1" applyFill="1" applyBorder="1" applyAlignment="1" applyProtection="1">
      <alignment horizontal="center" vertical="center" wrapText="1"/>
      <protection locked="0"/>
    </xf>
    <xf numFmtId="174" fontId="2" fillId="0" borderId="9" xfId="13" applyNumberFormat="1" applyFont="1" applyFill="1" applyBorder="1" applyAlignment="1" applyProtection="1">
      <alignment horizontal="center" vertical="center" wrapText="1"/>
      <protection locked="0"/>
    </xf>
    <xf numFmtId="9" fontId="3" fillId="0" borderId="2" xfId="13" applyFont="1" applyFill="1" applyBorder="1" applyAlignment="1">
      <alignment horizontal="center" vertical="center" wrapText="1"/>
    </xf>
    <xf numFmtId="9" fontId="3" fillId="0" borderId="8" xfId="13" applyFont="1" applyFill="1" applyBorder="1" applyAlignment="1">
      <alignment horizontal="center" vertical="center" wrapText="1"/>
    </xf>
    <xf numFmtId="9" fontId="3" fillId="0" borderId="9" xfId="13" applyFont="1" applyFill="1" applyBorder="1" applyAlignment="1">
      <alignment horizontal="center" vertical="center" wrapText="1"/>
    </xf>
    <xf numFmtId="174" fontId="2" fillId="0" borderId="2" xfId="13" applyNumberFormat="1" applyFont="1" applyFill="1" applyBorder="1" applyAlignment="1" applyProtection="1">
      <alignment horizontal="center" vertical="center" wrapText="1"/>
      <protection locked="0"/>
    </xf>
    <xf numFmtId="174" fontId="2" fillId="0" borderId="9" xfId="13" applyNumberFormat="1" applyFont="1" applyFill="1" applyBorder="1" applyAlignment="1" applyProtection="1">
      <alignment horizontal="center" vertical="center" wrapText="1"/>
      <protection locked="0"/>
    </xf>
    <xf numFmtId="9" fontId="3" fillId="13" borderId="2" xfId="13" applyFont="1" applyFill="1" applyBorder="1" applyAlignment="1">
      <alignment horizontal="center" vertical="center" wrapText="1"/>
    </xf>
    <xf numFmtId="9" fontId="3" fillId="13" borderId="8" xfId="13" applyFont="1" applyFill="1" applyBorder="1" applyAlignment="1">
      <alignment horizontal="center" vertical="center" wrapText="1"/>
    </xf>
    <xf numFmtId="9" fontId="3" fillId="13" borderId="9" xfId="13"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9" fontId="2" fillId="0" borderId="2" xfId="13" applyFont="1" applyFill="1" applyBorder="1" applyAlignment="1">
      <alignment horizontal="center" vertical="center" wrapText="1"/>
    </xf>
    <xf numFmtId="9" fontId="2" fillId="0" borderId="9" xfId="13" applyFont="1" applyFill="1" applyBorder="1" applyAlignment="1">
      <alignment horizontal="center" vertical="center" wrapText="1"/>
    </xf>
    <xf numFmtId="9" fontId="2" fillId="0" borderId="2" xfId="13" applyFont="1" applyFill="1" applyBorder="1" applyAlignment="1" applyProtection="1">
      <alignment horizontal="center" vertical="center" wrapText="1"/>
      <protection locked="0"/>
    </xf>
    <xf numFmtId="9" fontId="2" fillId="0" borderId="9" xfId="13" applyFont="1" applyFill="1" applyBorder="1" applyAlignment="1" applyProtection="1">
      <alignment horizontal="center" vertical="center" wrapText="1"/>
      <protection locked="0"/>
    </xf>
    <xf numFmtId="9" fontId="2" fillId="0" borderId="8" xfId="13"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66" fontId="2" fillId="0" borderId="2" xfId="14" applyNumberFormat="1" applyFont="1" applyFill="1" applyBorder="1" applyAlignment="1">
      <alignment horizontal="center" vertical="center" wrapText="1"/>
    </xf>
    <xf numFmtId="166" fontId="2" fillId="0" borderId="8" xfId="14" applyNumberFormat="1" applyFont="1" applyFill="1" applyBorder="1" applyAlignment="1">
      <alignment horizontal="center" vertical="center" wrapText="1"/>
    </xf>
    <xf numFmtId="175" fontId="3" fillId="0" borderId="2" xfId="12" applyNumberFormat="1" applyFont="1" applyFill="1" applyBorder="1" applyAlignment="1">
      <alignment horizontal="center" vertical="center" wrapText="1"/>
    </xf>
    <xf numFmtId="175" fontId="3" fillId="0" borderId="9" xfId="12" applyNumberFormat="1" applyFont="1" applyFill="1" applyBorder="1" applyAlignment="1">
      <alignment horizontal="center" vertical="center" wrapText="1"/>
    </xf>
    <xf numFmtId="10" fontId="3" fillId="0" borderId="2" xfId="13" applyNumberFormat="1" applyFont="1" applyFill="1" applyBorder="1" applyAlignment="1">
      <alignment horizontal="center" vertical="center" wrapText="1"/>
    </xf>
    <xf numFmtId="10" fontId="3" fillId="0" borderId="9" xfId="13" applyNumberFormat="1" applyFont="1" applyFill="1" applyBorder="1" applyAlignment="1">
      <alignment horizontal="center" vertical="center" wrapText="1"/>
    </xf>
    <xf numFmtId="0" fontId="2" fillId="0" borderId="2"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9" fontId="5" fillId="0" borderId="18" xfId="13" applyFont="1" applyFill="1" applyBorder="1" applyAlignment="1" applyProtection="1">
      <alignment horizontal="center" vertical="center" wrapText="1"/>
      <protection locked="0"/>
    </xf>
    <xf numFmtId="9" fontId="5" fillId="0" borderId="17" xfId="13" applyFont="1" applyFill="1" applyBorder="1" applyAlignment="1" applyProtection="1">
      <alignment horizontal="center" vertical="center" wrapText="1"/>
      <protection locked="0"/>
    </xf>
    <xf numFmtId="9" fontId="5" fillId="0" borderId="19" xfId="13" applyFont="1" applyFill="1" applyBorder="1" applyAlignment="1" applyProtection="1">
      <alignment horizontal="center" vertical="center" wrapText="1"/>
      <protection locked="0"/>
    </xf>
    <xf numFmtId="166" fontId="5" fillId="0" borderId="2" xfId="14" applyFont="1" applyFill="1" applyBorder="1" applyAlignment="1">
      <alignment horizontal="center" vertical="center" wrapText="1"/>
    </xf>
    <xf numFmtId="166" fontId="5" fillId="0" borderId="8" xfId="14" applyFont="1" applyFill="1" applyBorder="1" applyAlignment="1">
      <alignment horizontal="center" vertical="center" wrapText="1"/>
    </xf>
    <xf numFmtId="166" fontId="5" fillId="0" borderId="9" xfId="14" applyFont="1" applyFill="1" applyBorder="1" applyAlignment="1">
      <alignment horizontal="center" vertical="center" wrapText="1"/>
    </xf>
    <xf numFmtId="0" fontId="2" fillId="19" borderId="2" xfId="0" applyFont="1" applyFill="1" applyBorder="1" applyAlignment="1">
      <alignment horizontal="left" vertical="top" wrapText="1"/>
    </xf>
    <xf numFmtId="0" fontId="2" fillId="19" borderId="9" xfId="0" applyFont="1" applyFill="1" applyBorder="1" applyAlignment="1">
      <alignment horizontal="left" vertical="top" wrapText="1"/>
    </xf>
    <xf numFmtId="0" fontId="2" fillId="9" borderId="2" xfId="0" quotePrefix="1" applyFont="1" applyFill="1" applyBorder="1" applyAlignment="1">
      <alignment horizontal="center" vertical="center" wrapText="1"/>
    </xf>
    <xf numFmtId="166" fontId="2" fillId="0" borderId="2" xfId="14" applyFont="1" applyFill="1" applyBorder="1" applyAlignment="1">
      <alignment horizontal="center" vertical="center" wrapText="1"/>
    </xf>
    <xf numFmtId="166" fontId="2" fillId="0" borderId="9" xfId="14" applyFont="1" applyFill="1" applyBorder="1" applyAlignment="1">
      <alignment horizontal="center" vertical="center" wrapText="1"/>
    </xf>
    <xf numFmtId="172" fontId="5" fillId="0" borderId="2" xfId="14" applyNumberFormat="1" applyFont="1" applyFill="1" applyBorder="1" applyAlignment="1">
      <alignment horizontal="center" vertical="center" wrapText="1"/>
    </xf>
    <xf numFmtId="172" fontId="5" fillId="0" borderId="9" xfId="14" applyNumberFormat="1" applyFont="1" applyFill="1" applyBorder="1" applyAlignment="1">
      <alignment horizontal="center" vertical="center" wrapText="1"/>
    </xf>
    <xf numFmtId="166" fontId="2" fillId="0" borderId="8" xfId="14" applyFont="1" applyFill="1" applyBorder="1" applyAlignment="1">
      <alignment horizontal="center" vertical="center" wrapText="1"/>
    </xf>
    <xf numFmtId="166" fontId="2" fillId="0" borderId="9" xfId="14" applyNumberFormat="1" applyFont="1" applyFill="1" applyBorder="1" applyAlignment="1">
      <alignment horizontal="center" vertical="center" wrapText="1"/>
    </xf>
    <xf numFmtId="172" fontId="5" fillId="0" borderId="8" xfId="14" applyNumberFormat="1" applyFont="1" applyFill="1" applyBorder="1" applyAlignment="1">
      <alignment horizontal="center" vertical="center" wrapText="1"/>
    </xf>
    <xf numFmtId="9" fontId="5" fillId="0" borderId="2" xfId="13" applyFont="1" applyFill="1" applyBorder="1" applyAlignment="1" applyProtection="1">
      <alignment horizontal="center" vertical="center" wrapText="1"/>
      <protection locked="0"/>
    </xf>
    <xf numFmtId="9" fontId="5" fillId="0" borderId="8" xfId="13" applyFont="1" applyFill="1" applyBorder="1" applyAlignment="1" applyProtection="1">
      <alignment horizontal="center" vertical="center" wrapText="1"/>
      <protection locked="0"/>
    </xf>
    <xf numFmtId="0" fontId="2" fillId="13" borderId="2"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166" fontId="5" fillId="0" borderId="12" xfId="14"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12" borderId="2" xfId="0" applyFont="1" applyFill="1" applyBorder="1" applyAlignment="1">
      <alignment horizontal="center" vertical="center" wrapText="1"/>
    </xf>
    <xf numFmtId="9" fontId="2" fillId="13" borderId="8" xfId="13" applyFont="1" applyFill="1" applyBorder="1" applyAlignment="1">
      <alignment horizontal="center" vertical="center" wrapText="1"/>
    </xf>
    <xf numFmtId="9" fontId="2" fillId="13" borderId="2" xfId="13" applyFont="1" applyFill="1" applyBorder="1" applyAlignment="1">
      <alignment horizontal="center" vertical="center" wrapText="1"/>
    </xf>
    <xf numFmtId="9" fontId="2" fillId="13" borderId="9" xfId="13" applyFont="1" applyFill="1" applyBorder="1" applyAlignment="1">
      <alignment horizontal="center" vertical="center" wrapText="1"/>
    </xf>
    <xf numFmtId="0" fontId="2" fillId="10" borderId="8" xfId="0" quotePrefix="1" applyFont="1" applyFill="1" applyBorder="1" applyAlignment="1">
      <alignment horizontal="center" vertical="center" wrapText="1"/>
    </xf>
    <xf numFmtId="9" fontId="5" fillId="0" borderId="9" xfId="13"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10" fontId="2" fillId="0" borderId="2" xfId="13" applyNumberFormat="1" applyFont="1" applyFill="1" applyBorder="1" applyAlignment="1">
      <alignment horizontal="center" vertical="center" wrapText="1"/>
    </xf>
    <xf numFmtId="10" fontId="2" fillId="0" borderId="8" xfId="13" applyNumberFormat="1" applyFont="1" applyFill="1" applyBorder="1" applyAlignment="1">
      <alignment horizontal="center" vertical="center" wrapText="1"/>
    </xf>
    <xf numFmtId="10" fontId="2" fillId="0" borderId="9" xfId="13" applyNumberFormat="1" applyFont="1" applyFill="1" applyBorder="1" applyAlignment="1">
      <alignment horizontal="center" vertical="center" wrapText="1"/>
    </xf>
    <xf numFmtId="0" fontId="3" fillId="9" borderId="2" xfId="0" applyFont="1" applyFill="1" applyBorder="1" applyAlignment="1">
      <alignment horizontal="left" vertical="top" wrapText="1"/>
    </xf>
    <xf numFmtId="0" fontId="3" fillId="9" borderId="9" xfId="0" applyFont="1" applyFill="1" applyBorder="1" applyAlignment="1">
      <alignment horizontal="left" vertical="top" wrapText="1"/>
    </xf>
    <xf numFmtId="9" fontId="3" fillId="9" borderId="2" xfId="13" applyFont="1" applyFill="1" applyBorder="1" applyAlignment="1">
      <alignment horizontal="center" vertical="center" wrapText="1"/>
    </xf>
    <xf numFmtId="9" fontId="3" fillId="9" borderId="9" xfId="13" applyFont="1" applyFill="1" applyBorder="1" applyAlignment="1">
      <alignment horizontal="center" vertical="center" wrapText="1"/>
    </xf>
    <xf numFmtId="10" fontId="2" fillId="9" borderId="2" xfId="13" applyNumberFormat="1" applyFont="1" applyFill="1" applyBorder="1" applyAlignment="1">
      <alignment horizontal="center" vertical="center" wrapText="1"/>
    </xf>
    <xf numFmtId="10" fontId="2" fillId="9" borderId="9" xfId="13" applyNumberFormat="1" applyFont="1" applyFill="1" applyBorder="1" applyAlignment="1">
      <alignment horizontal="center" vertical="center" wrapText="1"/>
    </xf>
    <xf numFmtId="0" fontId="2" fillId="19" borderId="8"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9" fontId="2" fillId="0" borderId="2" xfId="13" applyNumberFormat="1" applyFont="1" applyFill="1" applyBorder="1" applyAlignment="1">
      <alignment horizontal="center" vertical="center" wrapText="1"/>
    </xf>
    <xf numFmtId="9" fontId="2" fillId="0" borderId="9" xfId="13" applyNumberFormat="1" applyFont="1" applyFill="1" applyBorder="1" applyAlignment="1">
      <alignment horizontal="center" vertical="center" wrapText="1"/>
    </xf>
    <xf numFmtId="9" fontId="3" fillId="0" borderId="13" xfId="13" applyFont="1" applyFill="1" applyBorder="1" applyAlignment="1">
      <alignment horizontal="center" vertical="center" wrapText="1"/>
    </xf>
    <xf numFmtId="0" fontId="2" fillId="0" borderId="8" xfId="0" applyFont="1" applyFill="1" applyBorder="1" applyAlignment="1">
      <alignment horizontal="left" vertical="top" wrapText="1"/>
    </xf>
    <xf numFmtId="167" fontId="3" fillId="0" borderId="13" xfId="12" applyFont="1" applyFill="1" applyBorder="1" applyAlignment="1">
      <alignment horizontal="center" vertical="center" wrapText="1"/>
    </xf>
    <xf numFmtId="167" fontId="3" fillId="0" borderId="8" xfId="12" applyFont="1" applyFill="1" applyBorder="1" applyAlignment="1">
      <alignment horizontal="center" vertical="center" wrapText="1"/>
    </xf>
    <xf numFmtId="167" fontId="3" fillId="0" borderId="9" xfId="12" applyFont="1" applyFill="1" applyBorder="1" applyAlignment="1">
      <alignment horizontal="center" vertical="center" wrapText="1"/>
    </xf>
    <xf numFmtId="167" fontId="3" fillId="13" borderId="2" xfId="12" applyFont="1" applyFill="1" applyBorder="1" applyAlignment="1">
      <alignment horizontal="center" vertical="center" wrapText="1"/>
    </xf>
    <xf numFmtId="167" fontId="3" fillId="13" borderId="9" xfId="12" applyFont="1" applyFill="1" applyBorder="1" applyAlignment="1">
      <alignment horizontal="center" vertical="center" wrapText="1"/>
    </xf>
    <xf numFmtId="167" fontId="3" fillId="0" borderId="2" xfId="12" applyFont="1" applyFill="1" applyBorder="1" applyAlignment="1">
      <alignment horizontal="center" vertical="center" wrapText="1"/>
    </xf>
    <xf numFmtId="167" fontId="3" fillId="0" borderId="12" xfId="12" applyFont="1" applyFill="1" applyBorder="1" applyAlignment="1">
      <alignment horizontal="center" vertical="center" wrapText="1"/>
    </xf>
    <xf numFmtId="9" fontId="3" fillId="0" borderId="12" xfId="13" applyFont="1" applyFill="1" applyBorder="1" applyAlignment="1">
      <alignment horizontal="center" vertical="center" wrapText="1"/>
    </xf>
    <xf numFmtId="10" fontId="3" fillId="0" borderId="8" xfId="13" applyNumberFormat="1" applyFont="1" applyFill="1" applyBorder="1" applyAlignment="1">
      <alignment horizontal="center" vertical="center" wrapText="1"/>
    </xf>
    <xf numFmtId="9" fontId="2" fillId="0" borderId="13" xfId="13" applyFont="1" applyFill="1" applyBorder="1" applyAlignment="1">
      <alignment horizontal="center" vertical="center" wrapText="1"/>
    </xf>
    <xf numFmtId="9" fontId="2" fillId="0" borderId="12" xfId="13"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8" xfId="0" applyFont="1" applyFill="1" applyBorder="1" applyAlignment="1">
      <alignment horizontal="center" vertical="center" wrapText="1"/>
    </xf>
    <xf numFmtId="0" fontId="2" fillId="19" borderId="9" xfId="0" applyFont="1" applyFill="1" applyBorder="1" applyAlignment="1">
      <alignment horizontal="center" vertical="center" wrapText="1"/>
    </xf>
    <xf numFmtId="0" fontId="2" fillId="13"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66" fontId="5" fillId="0" borderId="13" xfId="14" applyFont="1" applyFill="1" applyBorder="1" applyAlignment="1" applyProtection="1">
      <alignment horizontal="center" vertical="center" wrapText="1"/>
      <protection locked="0"/>
    </xf>
    <xf numFmtId="166" fontId="5" fillId="0" borderId="8" xfId="14" applyFont="1" applyFill="1" applyBorder="1" applyAlignment="1" applyProtection="1">
      <alignment horizontal="center" vertical="center" wrapText="1"/>
      <protection locked="0"/>
    </xf>
    <xf numFmtId="166" fontId="5" fillId="0" borderId="9" xfId="14" applyFont="1" applyFill="1" applyBorder="1" applyAlignment="1" applyProtection="1">
      <alignment horizontal="center" vertical="center" wrapText="1"/>
      <protection locked="0"/>
    </xf>
    <xf numFmtId="9" fontId="5" fillId="0" borderId="13" xfId="13" applyFont="1" applyFill="1" applyBorder="1" applyAlignment="1" applyProtection="1">
      <alignment horizontal="center" vertical="center" wrapText="1"/>
      <protection locked="0"/>
    </xf>
    <xf numFmtId="9" fontId="2" fillId="0" borderId="4" xfId="13" applyFont="1" applyFill="1" applyBorder="1" applyAlignment="1">
      <alignment horizontal="center" vertical="center" wrapText="1"/>
    </xf>
    <xf numFmtId="9" fontId="2" fillId="0" borderId="5" xfId="13"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0" fontId="6" fillId="3" borderId="9" xfId="1" applyFont="1" applyFill="1" applyBorder="1" applyAlignment="1" applyProtection="1">
      <alignment horizontal="center" vertical="center" wrapText="1"/>
      <protection locked="0"/>
    </xf>
    <xf numFmtId="9" fontId="6" fillId="3" borderId="1" xfId="1"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6" fillId="3" borderId="3" xfId="0" applyNumberFormat="1" applyFont="1" applyFill="1" applyBorder="1" applyAlignment="1" applyProtection="1">
      <alignment horizontal="center" vertical="center" wrapText="1"/>
      <protection locked="0"/>
    </xf>
    <xf numFmtId="9" fontId="6" fillId="3" borderId="0" xfId="0" applyNumberFormat="1" applyFont="1" applyFill="1" applyBorder="1" applyAlignment="1" applyProtection="1">
      <alignment horizontal="center" vertical="center" wrapText="1"/>
      <protection locked="0"/>
    </xf>
    <xf numFmtId="169" fontId="6" fillId="3" borderId="1" xfId="0" applyNumberFormat="1" applyFont="1" applyFill="1" applyBorder="1" applyAlignment="1" applyProtection="1">
      <alignment horizontal="center" vertical="center" wrapText="1"/>
      <protection locked="0"/>
    </xf>
    <xf numFmtId="169" fontId="5" fillId="3" borderId="1" xfId="0" applyNumberFormat="1" applyFont="1" applyFill="1" applyBorder="1" applyAlignment="1" applyProtection="1">
      <alignment horizontal="center" vertical="center" wrapText="1"/>
      <protection locked="0"/>
    </xf>
    <xf numFmtId="169" fontId="5" fillId="3" borderId="2" xfId="0" applyNumberFormat="1"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170" fontId="6" fillId="3" borderId="1" xfId="0" applyNumberFormat="1" applyFont="1" applyFill="1" applyBorder="1" applyAlignment="1" applyProtection="1">
      <alignment horizontal="center" vertical="center" wrapText="1"/>
      <protection locked="0"/>
    </xf>
    <xf numFmtId="170" fontId="5" fillId="3" borderId="2" xfId="0" applyNumberFormat="1"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top" wrapText="1"/>
      <protection locked="0"/>
    </xf>
    <xf numFmtId="0" fontId="6" fillId="3" borderId="9" xfId="1" applyFont="1" applyFill="1" applyBorder="1" applyAlignment="1" applyProtection="1">
      <alignment horizontal="center" vertical="top" wrapText="1"/>
      <protection locked="0"/>
    </xf>
    <xf numFmtId="0" fontId="3" fillId="13"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8" xfId="0" applyFont="1" applyFill="1" applyBorder="1" applyAlignment="1">
      <alignment horizontal="center" vertical="center" wrapText="1"/>
    </xf>
    <xf numFmtId="173" fontId="3" fillId="0" borderId="2" xfId="12" applyNumberFormat="1" applyFont="1" applyFill="1" applyBorder="1" applyAlignment="1">
      <alignment horizontal="center" vertical="center" wrapText="1"/>
    </xf>
    <xf numFmtId="173" fontId="3" fillId="0" borderId="8" xfId="12" applyNumberFormat="1" applyFont="1" applyFill="1" applyBorder="1" applyAlignment="1">
      <alignment horizontal="center" vertical="center" wrapText="1"/>
    </xf>
    <xf numFmtId="173" fontId="3" fillId="0" borderId="9" xfId="12" applyNumberFormat="1" applyFont="1" applyFill="1" applyBorder="1" applyAlignment="1">
      <alignment horizontal="center" vertical="center" wrapText="1"/>
    </xf>
    <xf numFmtId="10" fontId="3" fillId="13" borderId="2" xfId="13" applyNumberFormat="1" applyFont="1" applyFill="1" applyBorder="1" applyAlignment="1">
      <alignment horizontal="center" vertical="center" wrapText="1"/>
    </xf>
    <xf numFmtId="10" fontId="3" fillId="13" borderId="8" xfId="13" applyNumberFormat="1" applyFont="1" applyFill="1" applyBorder="1" applyAlignment="1">
      <alignment horizontal="center" vertical="center" wrapText="1"/>
    </xf>
    <xf numFmtId="10" fontId="3" fillId="13" borderId="9" xfId="13" applyNumberFormat="1" applyFont="1" applyFill="1" applyBorder="1" applyAlignment="1">
      <alignment horizontal="center" vertical="center" wrapText="1"/>
    </xf>
    <xf numFmtId="167" fontId="3" fillId="13" borderId="8" xfId="12" applyFont="1" applyFill="1" applyBorder="1" applyAlignment="1">
      <alignment horizontal="center" vertical="center" wrapText="1"/>
    </xf>
    <xf numFmtId="0" fontId="6" fillId="3" borderId="7" xfId="1" applyFont="1" applyFill="1" applyBorder="1" applyAlignment="1" applyProtection="1">
      <alignment horizontal="center" vertical="center"/>
      <protection locked="0"/>
    </xf>
    <xf numFmtId="0" fontId="6" fillId="3" borderId="14" xfId="1" applyFont="1" applyFill="1" applyBorder="1" applyAlignment="1" applyProtection="1">
      <alignment horizontal="center" vertical="center"/>
      <protection locked="0"/>
    </xf>
    <xf numFmtId="167" fontId="3" fillId="0" borderId="2" xfId="12" applyFont="1" applyFill="1" applyBorder="1" applyAlignment="1" applyProtection="1">
      <alignment horizontal="center" vertical="center" wrapText="1"/>
      <protection locked="0"/>
    </xf>
    <xf numFmtId="167" fontId="3" fillId="0" borderId="8" xfId="12" applyFont="1" applyFill="1" applyBorder="1" applyAlignment="1" applyProtection="1">
      <alignment horizontal="center" vertical="center" wrapText="1"/>
      <protection locked="0"/>
    </xf>
    <xf numFmtId="167" fontId="3" fillId="0" borderId="9" xfId="12" applyFont="1" applyFill="1" applyBorder="1" applyAlignment="1" applyProtection="1">
      <alignment horizontal="center" vertical="center" wrapText="1"/>
      <protection locked="0"/>
    </xf>
    <xf numFmtId="9" fontId="3" fillId="0" borderId="2" xfId="13" applyFont="1" applyFill="1" applyBorder="1" applyAlignment="1" applyProtection="1">
      <alignment horizontal="center" vertical="center" wrapText="1"/>
      <protection locked="0"/>
    </xf>
    <xf numFmtId="9" fontId="3" fillId="0" borderId="8" xfId="13" applyFont="1" applyFill="1" applyBorder="1" applyAlignment="1" applyProtection="1">
      <alignment horizontal="center" vertical="center" wrapText="1"/>
      <protection locked="0"/>
    </xf>
    <xf numFmtId="9" fontId="3" fillId="0" borderId="9" xfId="13" applyFont="1" applyFill="1" applyBorder="1" applyAlignment="1" applyProtection="1">
      <alignment horizontal="center" vertical="center" wrapText="1"/>
      <protection locked="0"/>
    </xf>
    <xf numFmtId="0" fontId="2" fillId="0" borderId="13" xfId="0" quotePrefix="1"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9" fontId="2" fillId="13" borderId="17" xfId="13" applyFont="1" applyFill="1" applyBorder="1" applyAlignment="1">
      <alignment horizontal="center" vertical="center" wrapText="1"/>
    </xf>
    <xf numFmtId="0" fontId="2" fillId="15" borderId="2" xfId="0" quotePrefix="1" applyFont="1" applyFill="1" applyBorder="1" applyAlignment="1">
      <alignment horizontal="center" vertical="center" wrapText="1"/>
    </xf>
    <xf numFmtId="0" fontId="2" fillId="15" borderId="8" xfId="0" quotePrefix="1" applyFont="1" applyFill="1" applyBorder="1" applyAlignment="1">
      <alignment horizontal="center" vertical="center" wrapText="1"/>
    </xf>
    <xf numFmtId="0" fontId="2" fillId="15" borderId="9" xfId="0" quotePrefix="1"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8" xfId="0" quotePrefix="1" applyFont="1" applyFill="1" applyBorder="1" applyAlignment="1">
      <alignment horizontal="center" vertical="center" wrapText="1"/>
    </xf>
    <xf numFmtId="0" fontId="2" fillId="0" borderId="9" xfId="0" quotePrefix="1" applyFont="1" applyFill="1" applyBorder="1" applyAlignment="1">
      <alignment horizontal="center" vertical="center" wrapText="1"/>
    </xf>
    <xf numFmtId="166" fontId="2" fillId="0" borderId="13" xfId="14" applyFont="1" applyFill="1" applyBorder="1" applyAlignment="1" applyProtection="1">
      <alignment horizontal="center" vertical="center" wrapText="1"/>
      <protection locked="0"/>
    </xf>
    <xf numFmtId="166" fontId="2" fillId="0" borderId="8" xfId="14" applyFont="1" applyFill="1" applyBorder="1" applyAlignment="1" applyProtection="1">
      <alignment horizontal="center" vertical="center" wrapText="1"/>
      <protection locked="0"/>
    </xf>
    <xf numFmtId="166" fontId="2" fillId="0" borderId="9" xfId="14" applyFont="1" applyFill="1" applyBorder="1" applyAlignment="1" applyProtection="1">
      <alignment horizontal="center" vertical="center" wrapText="1"/>
      <protection locked="0"/>
    </xf>
    <xf numFmtId="174" fontId="2" fillId="0" borderId="2" xfId="13" applyNumberFormat="1" applyFont="1" applyFill="1" applyBorder="1" applyAlignment="1">
      <alignment horizontal="center" vertical="center" wrapText="1"/>
    </xf>
    <xf numFmtId="174" fontId="2" fillId="0" borderId="9" xfId="13" applyNumberFormat="1" applyFont="1" applyFill="1" applyBorder="1" applyAlignment="1">
      <alignment horizontal="center" vertical="center" wrapText="1"/>
    </xf>
    <xf numFmtId="9" fontId="5" fillId="0" borderId="21" xfId="13" applyFont="1" applyFill="1" applyBorder="1" applyAlignment="1" applyProtection="1">
      <alignment horizontal="center" vertical="center" wrapText="1"/>
      <protection locked="0"/>
    </xf>
    <xf numFmtId="9" fontId="5" fillId="0" borderId="2" xfId="13" applyFont="1" applyFill="1" applyBorder="1" applyAlignment="1">
      <alignment horizontal="center" vertical="center" wrapText="1"/>
    </xf>
    <xf numFmtId="9" fontId="5" fillId="0" borderId="8" xfId="13" applyFont="1" applyFill="1" applyBorder="1" applyAlignment="1">
      <alignment horizontal="center" vertical="center" wrapText="1"/>
    </xf>
    <xf numFmtId="9" fontId="5" fillId="0" borderId="12" xfId="13"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8" xfId="0" applyFont="1" applyFill="1" applyBorder="1" applyAlignment="1">
      <alignment horizontal="center" vertical="top" wrapText="1"/>
    </xf>
    <xf numFmtId="174" fontId="2" fillId="0" borderId="8" xfId="13" applyNumberFormat="1" applyFont="1" applyFill="1" applyBorder="1" applyAlignment="1">
      <alignment horizontal="center" vertical="center" wrapText="1"/>
    </xf>
    <xf numFmtId="0" fontId="12" fillId="16" borderId="2" xfId="0" applyFont="1" applyFill="1" applyBorder="1" applyAlignment="1">
      <alignment horizontal="center" vertical="center"/>
    </xf>
    <xf numFmtId="0" fontId="12" fillId="16" borderId="8" xfId="0" applyFont="1" applyFill="1" applyBorder="1" applyAlignment="1">
      <alignment horizontal="center" vertical="center"/>
    </xf>
    <xf numFmtId="0" fontId="1" fillId="0" borderId="1" xfId="0" applyFont="1" applyBorder="1" applyAlignment="1">
      <alignment horizontal="center"/>
    </xf>
    <xf numFmtId="0" fontId="1" fillId="16" borderId="7" xfId="0" applyFont="1" applyFill="1" applyBorder="1" applyAlignment="1">
      <alignment horizontal="center" vertical="center" wrapText="1"/>
    </xf>
    <xf numFmtId="0" fontId="1" fillId="16" borderId="14"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16" borderId="2" xfId="0" applyFont="1" applyFill="1" applyBorder="1" applyAlignment="1">
      <alignment horizontal="center" vertical="center" wrapText="1"/>
    </xf>
    <xf numFmtId="0" fontId="1" fillId="16" borderId="9" xfId="0" applyFont="1" applyFill="1" applyBorder="1" applyAlignment="1">
      <alignment horizontal="center" vertical="center" wrapText="1"/>
    </xf>
    <xf numFmtId="9" fontId="1" fillId="16" borderId="2" xfId="0" applyNumberFormat="1" applyFont="1" applyFill="1" applyBorder="1" applyAlignment="1">
      <alignment horizontal="center" vertical="center" wrapText="1"/>
    </xf>
    <xf numFmtId="9" fontId="1" fillId="16" borderId="9" xfId="0" applyNumberFormat="1" applyFont="1" applyFill="1" applyBorder="1" applyAlignment="1">
      <alignment horizontal="center" vertical="center" wrapText="1"/>
    </xf>
    <xf numFmtId="0" fontId="12" fillId="0" borderId="2" xfId="0" applyFont="1" applyBorder="1" applyAlignment="1">
      <alignment horizontal="center"/>
    </xf>
    <xf numFmtId="0" fontId="12" fillId="0" borderId="9" xfId="0" applyFont="1" applyBorder="1" applyAlignment="1">
      <alignment horizontal="center"/>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12" fillId="16"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16" borderId="8"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 fillId="0" borderId="2" xfId="0" applyFont="1" applyBorder="1" applyAlignment="1">
      <alignment horizontal="center" wrapText="1"/>
    </xf>
    <xf numFmtId="0" fontId="1" fillId="0" borderId="9" xfId="0" applyFont="1" applyBorder="1" applyAlignment="1">
      <alignment horizontal="center" wrapText="1"/>
    </xf>
    <xf numFmtId="0" fontId="1" fillId="16" borderId="2" xfId="0" applyFont="1" applyFill="1" applyBorder="1" applyAlignment="1">
      <alignment horizontal="center" vertical="top" wrapText="1"/>
    </xf>
    <xf numFmtId="0" fontId="1" fillId="16" borderId="9" xfId="0" applyFont="1" applyFill="1" applyBorder="1" applyAlignment="1">
      <alignment horizontal="center" vertical="top" wrapText="1"/>
    </xf>
    <xf numFmtId="9" fontId="3" fillId="0" borderId="2" xfId="13" applyNumberFormat="1" applyFont="1" applyFill="1" applyBorder="1" applyAlignment="1" applyProtection="1">
      <alignment horizontal="center" vertical="center" wrapText="1"/>
      <protection locked="0"/>
    </xf>
    <xf numFmtId="9" fontId="3" fillId="0" borderId="8" xfId="13" applyNumberFormat="1" applyFont="1" applyFill="1" applyBorder="1" applyAlignment="1" applyProtection="1">
      <alignment horizontal="center" vertical="center" wrapText="1"/>
      <protection locked="0"/>
    </xf>
    <xf numFmtId="9" fontId="3" fillId="0" borderId="9" xfId="13" applyNumberFormat="1" applyFont="1" applyFill="1" applyBorder="1" applyAlignment="1" applyProtection="1">
      <alignment horizontal="center" vertical="center" wrapText="1"/>
      <protection locked="0"/>
    </xf>
    <xf numFmtId="9" fontId="0" fillId="0" borderId="0" xfId="13" applyFont="1"/>
    <xf numFmtId="9" fontId="3" fillId="0" borderId="1" xfId="13" applyNumberFormat="1" applyFont="1" applyFill="1" applyBorder="1" applyAlignment="1">
      <alignment horizontal="center" vertical="center" wrapText="1"/>
    </xf>
    <xf numFmtId="9" fontId="2" fillId="3" borderId="8" xfId="13" applyFont="1" applyFill="1" applyBorder="1" applyAlignment="1">
      <alignment horizontal="center" vertical="center" wrapText="1"/>
    </xf>
    <xf numFmtId="9" fontId="2" fillId="3" borderId="9" xfId="13" applyFont="1" applyFill="1" applyBorder="1" applyAlignment="1">
      <alignment horizontal="center" vertical="center" wrapText="1"/>
    </xf>
    <xf numFmtId="167" fontId="3" fillId="3" borderId="2" xfId="12" applyFont="1" applyFill="1" applyBorder="1" applyAlignment="1" applyProtection="1">
      <alignment horizontal="center" vertical="center" wrapText="1"/>
      <protection locked="0"/>
    </xf>
    <xf numFmtId="167" fontId="3" fillId="3" borderId="8" xfId="12" applyFont="1" applyFill="1" applyBorder="1" applyAlignment="1" applyProtection="1">
      <alignment horizontal="center" vertical="center" wrapText="1"/>
      <protection locked="0"/>
    </xf>
    <xf numFmtId="167" fontId="3" fillId="3" borderId="9" xfId="12" applyFont="1" applyFill="1" applyBorder="1" applyAlignment="1" applyProtection="1">
      <alignment horizontal="center" vertical="center" wrapText="1"/>
      <protection locked="0"/>
    </xf>
    <xf numFmtId="167" fontId="3" fillId="3" borderId="2" xfId="12" applyFont="1" applyFill="1" applyBorder="1" applyAlignment="1">
      <alignment horizontal="center" vertical="center" wrapText="1"/>
    </xf>
    <xf numFmtId="167" fontId="3" fillId="3" borderId="8" xfId="12" applyFont="1" applyFill="1" applyBorder="1" applyAlignment="1">
      <alignment horizontal="center" vertical="center" wrapText="1"/>
    </xf>
    <xf numFmtId="167" fontId="3" fillId="3" borderId="9" xfId="12" applyFont="1" applyFill="1" applyBorder="1" applyAlignment="1">
      <alignment horizontal="center" vertical="center" wrapText="1"/>
    </xf>
    <xf numFmtId="167" fontId="3" fillId="3" borderId="1" xfId="12" applyFont="1" applyFill="1" applyBorder="1" applyAlignment="1">
      <alignment horizontal="center" vertical="center" wrapText="1"/>
    </xf>
    <xf numFmtId="175" fontId="3" fillId="3" borderId="2" xfId="12" applyNumberFormat="1" applyFont="1" applyFill="1" applyBorder="1" applyAlignment="1">
      <alignment horizontal="center" vertical="center" wrapText="1"/>
    </xf>
    <xf numFmtId="175" fontId="3" fillId="3" borderId="9" xfId="12" applyNumberFormat="1" applyFont="1" applyFill="1" applyBorder="1" applyAlignment="1">
      <alignment horizontal="center" vertical="center" wrapText="1"/>
    </xf>
    <xf numFmtId="10" fontId="3" fillId="3" borderId="1" xfId="13" applyNumberFormat="1" applyFont="1" applyFill="1" applyBorder="1" applyAlignment="1">
      <alignment horizontal="center" vertical="center" wrapText="1"/>
    </xf>
    <xf numFmtId="9" fontId="3" fillId="3" borderId="2" xfId="13" applyFont="1" applyFill="1" applyBorder="1" applyAlignment="1">
      <alignment horizontal="center" vertical="center" wrapText="1"/>
    </xf>
    <xf numFmtId="9" fontId="3" fillId="3" borderId="8" xfId="13" applyFont="1" applyFill="1" applyBorder="1" applyAlignment="1">
      <alignment horizontal="center" vertical="center" wrapText="1"/>
    </xf>
    <xf numFmtId="9" fontId="3" fillId="3" borderId="9" xfId="13" applyFont="1" applyFill="1" applyBorder="1" applyAlignment="1">
      <alignment horizontal="center" vertical="center" wrapText="1"/>
    </xf>
    <xf numFmtId="9" fontId="3" fillId="3" borderId="12" xfId="13" applyFont="1" applyFill="1" applyBorder="1" applyAlignment="1">
      <alignment horizontal="center" vertical="center" wrapText="1"/>
    </xf>
    <xf numFmtId="9" fontId="3" fillId="3" borderId="13" xfId="13" applyFont="1" applyFill="1" applyBorder="1" applyAlignment="1">
      <alignment horizontal="center" vertical="center" wrapText="1"/>
    </xf>
    <xf numFmtId="9" fontId="3" fillId="3" borderId="1" xfId="13" applyFont="1" applyFill="1" applyBorder="1" applyAlignment="1">
      <alignment horizontal="center" vertical="center" wrapText="1"/>
    </xf>
  </cellXfs>
  <cellStyles count="16">
    <cellStyle name="Millares" xfId="12" builtinId="3"/>
    <cellStyle name="Millares [0] 2" xfId="15"/>
    <cellStyle name="Millares 2" xfId="5"/>
    <cellStyle name="Millares 2 2" xfId="6"/>
    <cellStyle name="Millares 3" xfId="8"/>
    <cellStyle name="Millares 4" xfId="9"/>
    <cellStyle name="Moneda" xfId="14" builtinId="4"/>
    <cellStyle name="Moneda 2" xfId="2"/>
    <cellStyle name="Moneda 3" xfId="7"/>
    <cellStyle name="Moneda 4" xfId="10"/>
    <cellStyle name="Normal" xfId="0" builtinId="0"/>
    <cellStyle name="Normal 2" xfId="1"/>
    <cellStyle name="Normal 3" xfId="3"/>
    <cellStyle name="Normal 7" xfId="11"/>
    <cellStyle name="Porcentaje" xfId="13" builtinId="5"/>
    <cellStyle name="Porcentaje 2" xfId="4"/>
  </cellStyles>
  <dxfs count="0"/>
  <tableStyles count="0" defaultTableStyle="TableStyleMedium2" defaultPivotStyle="PivotStyleLight16"/>
  <colors>
    <mruColors>
      <color rgb="FFFFFF99"/>
      <color rgb="FF00FF00"/>
      <color rgb="FFCC99FF"/>
      <color rgb="FF66CCFF"/>
      <color rgb="FF66FF66"/>
      <color rgb="FFFF9999"/>
      <color rgb="FF00FFFF"/>
      <color rgb="FFFFFFCC"/>
      <color rgb="FF99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1546413</xdr:colOff>
      <xdr:row>0</xdr:row>
      <xdr:rowOff>145677</xdr:rowOff>
    </xdr:from>
    <xdr:to>
      <xdr:col>4</xdr:col>
      <xdr:colOff>1669677</xdr:colOff>
      <xdr:row>5</xdr:row>
      <xdr:rowOff>67235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2813" y="145677"/>
          <a:ext cx="2142564" cy="102645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047/Downloads/Users/Usuario/Desktop/PLAN_INVERSIONES_2_P.D.xlsx(VERSION_ANTONIO%2021%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sheetName val="MODIFICADO 25 NOV"/>
      <sheetName val="MODIFICADO 24 FEB (12)"/>
      <sheetName val="PTO 24 FEB"/>
      <sheetName val=" EGRE SEC CENT"/>
      <sheetName val="ING SEC CENT"/>
      <sheetName val="PROYECTOS ESTRATEGICOS"/>
      <sheetName val="Gastos_Inversión_2012"/>
      <sheetName val="RESUMEN"/>
      <sheetName val="POAI 2012-2015"/>
      <sheetName val="POR SECTORES EJECUTADO 31 DE M"/>
      <sheetName val="Analisis de alternativas"/>
      <sheetName val="ftes y usos"/>
      <sheetName val="Deuda"/>
      <sheetName val="SGP"/>
      <sheetName val="INDICADORES DEUDA"/>
      <sheetName val="Hoja3"/>
      <sheetName val="Hoja2"/>
    </sheetNames>
    <sheetDataSet>
      <sheetData sheetId="0" refreshError="1"/>
      <sheetData sheetId="1" refreshError="1"/>
      <sheetData sheetId="2" refreshError="1"/>
      <sheetData sheetId="3" refreshError="1"/>
      <sheetData sheetId="4">
        <row r="102">
          <cell r="AA102">
            <v>219902577500</v>
          </cell>
        </row>
      </sheetData>
      <sheetData sheetId="5">
        <row r="5">
          <cell r="Z5">
            <v>127071249624</v>
          </cell>
        </row>
      </sheetData>
      <sheetData sheetId="6">
        <row r="29">
          <cell r="G29">
            <v>301227119205.59802</v>
          </cell>
        </row>
      </sheetData>
      <sheetData sheetId="7"/>
      <sheetData sheetId="8" refreshError="1"/>
      <sheetData sheetId="9">
        <row r="449">
          <cell r="Z449">
            <v>280820231681</v>
          </cell>
        </row>
      </sheetData>
      <sheetData sheetId="10">
        <row r="437">
          <cell r="M437">
            <v>16651493620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P116"/>
  <sheetViews>
    <sheetView tabSelected="1" zoomScale="70" zoomScaleNormal="70" workbookViewId="0">
      <pane ySplit="6" topLeftCell="A7" activePane="bottomLeft" state="frozen"/>
      <selection pane="bottomLeft" activeCell="S107" sqref="S107"/>
    </sheetView>
  </sheetViews>
  <sheetFormatPr baseColWidth="10" defaultColWidth="11.42578125" defaultRowHeight="12.75" x14ac:dyDescent="0.2"/>
  <cols>
    <col min="1" max="1" width="11.5703125" style="23" customWidth="1"/>
    <col min="2" max="2" width="27.5703125" style="23" customWidth="1"/>
    <col min="3" max="3" width="23.5703125" style="27" customWidth="1"/>
    <col min="4" max="4" width="7.5703125" style="23" customWidth="1"/>
    <col min="5" max="5" width="22.5703125" style="28" hidden="1" customWidth="1"/>
    <col min="6" max="6" width="7.7109375" style="23" hidden="1" customWidth="1"/>
    <col min="7" max="7" width="49.28515625" style="27" customWidth="1"/>
    <col min="8" max="8" width="8.28515625" style="27" customWidth="1"/>
    <col min="9" max="9" width="13.140625" style="28" customWidth="1"/>
    <col min="10" max="10" width="11.28515625" style="27" customWidth="1"/>
    <col min="11" max="11" width="10.140625" style="27" customWidth="1"/>
    <col min="12" max="12" width="15.28515625" style="28" customWidth="1"/>
    <col min="13" max="13" width="14.140625" style="28" customWidth="1"/>
    <col min="14" max="14" width="12.28515625" style="164" customWidth="1"/>
    <col min="15" max="15" width="17.5703125" style="28" customWidth="1"/>
    <col min="16" max="16" width="9.42578125" style="28" hidden="1" customWidth="1"/>
    <col min="17" max="17" width="9.7109375" style="28" hidden="1" customWidth="1"/>
    <col min="18" max="18" width="17.140625" style="28" hidden="1" customWidth="1"/>
    <col min="19" max="19" width="15.7109375" style="31" customWidth="1"/>
    <col min="20" max="20" width="52.7109375" style="27" customWidth="1"/>
    <col min="21" max="21" width="13.7109375" style="28" customWidth="1"/>
    <col min="22" max="22" width="9.85546875" style="27" customWidth="1"/>
    <col min="23" max="24" width="10.85546875" style="27" customWidth="1"/>
    <col min="25" max="25" width="9.85546875" style="27" customWidth="1"/>
    <col min="26" max="26" width="10.42578125" style="27" customWidth="1"/>
    <col min="27" max="27" width="15.28515625" style="28" customWidth="1"/>
    <col min="28" max="28" width="62.28515625" style="27" customWidth="1"/>
    <col min="29" max="29" width="21.28515625" style="27" customWidth="1"/>
    <col min="30" max="32" width="20.28515625" style="27" customWidth="1"/>
    <col min="33" max="33" width="20.28515625" style="34" customWidth="1"/>
    <col min="34" max="34" width="27.28515625" style="27" customWidth="1"/>
    <col min="35" max="35" width="24.5703125" style="27" customWidth="1"/>
    <col min="36" max="36" width="23.42578125" style="27" customWidth="1"/>
    <col min="37" max="37" width="20.28515625" style="27" customWidth="1"/>
    <col min="38" max="38" width="23.42578125" style="27" customWidth="1"/>
    <col min="39" max="39" width="20.28515625" style="27" customWidth="1"/>
    <col min="40" max="40" width="31" style="29" customWidth="1"/>
    <col min="41" max="42" width="20.28515625" style="27" customWidth="1"/>
    <col min="43" max="16384" width="11.42578125" style="23"/>
  </cols>
  <sheetData>
    <row r="1" spans="1:42" ht="21.75" hidden="1" customHeight="1" x14ac:dyDescent="0.25">
      <c r="B1" s="1" t="s">
        <v>6</v>
      </c>
      <c r="C1" s="30">
        <v>2020</v>
      </c>
      <c r="D1" s="2"/>
      <c r="E1" s="25"/>
      <c r="F1" s="2"/>
      <c r="G1" s="3"/>
      <c r="H1" s="3"/>
      <c r="I1" s="25"/>
      <c r="J1" s="3"/>
      <c r="K1" s="3"/>
      <c r="L1" s="25"/>
      <c r="M1" s="25"/>
      <c r="N1" s="165"/>
      <c r="O1" s="25"/>
      <c r="P1" s="25"/>
      <c r="Q1" s="25"/>
      <c r="R1" s="25"/>
      <c r="S1" s="32"/>
      <c r="T1" s="3"/>
      <c r="U1" s="25"/>
      <c r="V1" s="3"/>
      <c r="W1" s="3"/>
      <c r="X1" s="3"/>
      <c r="Y1" s="3"/>
      <c r="Z1" s="3"/>
      <c r="AA1" s="25"/>
      <c r="AB1" s="3"/>
      <c r="AC1" s="3"/>
      <c r="AD1" s="3"/>
      <c r="AE1" s="3"/>
      <c r="AF1" s="3"/>
      <c r="AG1" s="35"/>
      <c r="AH1" s="3"/>
      <c r="AI1" s="3"/>
      <c r="AJ1" s="3"/>
      <c r="AK1" s="3"/>
      <c r="AL1" s="3"/>
      <c r="AM1" s="3"/>
      <c r="AN1" s="4"/>
      <c r="AO1" s="3"/>
      <c r="AP1" s="5"/>
    </row>
    <row r="2" spans="1:42" ht="22.5" hidden="1" customHeight="1" x14ac:dyDescent="0.25">
      <c r="B2" s="1" t="s">
        <v>7</v>
      </c>
      <c r="C2" s="30" t="s">
        <v>35</v>
      </c>
      <c r="D2" s="6"/>
      <c r="E2" s="26"/>
      <c r="F2" s="6"/>
      <c r="G2" s="7"/>
      <c r="H2" s="7"/>
      <c r="I2" s="26"/>
      <c r="J2" s="7"/>
      <c r="K2" s="7"/>
      <c r="L2" s="26"/>
      <c r="M2" s="26"/>
      <c r="N2" s="166"/>
      <c r="O2" s="26"/>
      <c r="P2" s="26"/>
      <c r="Q2" s="26"/>
      <c r="R2" s="26"/>
      <c r="S2" s="33"/>
      <c r="T2" s="7"/>
      <c r="U2" s="26"/>
      <c r="V2" s="7"/>
      <c r="W2" s="7"/>
      <c r="X2" s="7"/>
      <c r="Y2" s="7"/>
      <c r="Z2" s="7"/>
      <c r="AA2" s="26"/>
      <c r="AB2" s="7"/>
      <c r="AC2" s="7"/>
      <c r="AD2" s="7"/>
      <c r="AE2" s="7"/>
      <c r="AF2" s="7"/>
      <c r="AG2" s="36"/>
      <c r="AH2" s="7"/>
      <c r="AI2" s="7"/>
      <c r="AJ2" s="7"/>
      <c r="AK2" s="7"/>
      <c r="AL2" s="7"/>
      <c r="AM2" s="7"/>
      <c r="AN2" s="8"/>
      <c r="AO2" s="7"/>
      <c r="AP2" s="9"/>
    </row>
    <row r="3" spans="1:42" ht="20.25" customHeight="1" x14ac:dyDescent="0.2">
      <c r="B3" s="397" t="s">
        <v>0</v>
      </c>
      <c r="C3" s="397" t="s">
        <v>1</v>
      </c>
      <c r="D3" s="397" t="s">
        <v>8</v>
      </c>
      <c r="E3" s="397" t="s">
        <v>2</v>
      </c>
      <c r="F3" s="397" t="s">
        <v>8</v>
      </c>
      <c r="G3" s="390" t="s">
        <v>9</v>
      </c>
      <c r="H3" s="397" t="s">
        <v>8</v>
      </c>
      <c r="I3" s="390" t="s">
        <v>3</v>
      </c>
      <c r="J3" s="390" t="s">
        <v>4</v>
      </c>
      <c r="K3" s="406" t="s">
        <v>5</v>
      </c>
      <c r="L3" s="406" t="s">
        <v>10</v>
      </c>
      <c r="M3" s="440" t="s">
        <v>11</v>
      </c>
      <c r="N3" s="441"/>
      <c r="O3" s="441"/>
      <c r="P3" s="441"/>
      <c r="Q3" s="441"/>
      <c r="R3" s="441"/>
      <c r="S3" s="441"/>
      <c r="T3" s="413" t="s">
        <v>12</v>
      </c>
      <c r="U3" s="415" t="s">
        <v>8</v>
      </c>
      <c r="V3" s="418" t="s">
        <v>13</v>
      </c>
      <c r="W3" s="418"/>
      <c r="X3" s="418"/>
      <c r="Y3" s="418"/>
      <c r="Z3" s="174"/>
      <c r="AA3" s="420" t="s">
        <v>14</v>
      </c>
      <c r="AB3" s="393" t="s">
        <v>15</v>
      </c>
      <c r="AC3" s="393" t="s">
        <v>16</v>
      </c>
      <c r="AD3" s="423" t="s">
        <v>17</v>
      </c>
      <c r="AE3" s="413"/>
      <c r="AF3" s="393" t="s">
        <v>18</v>
      </c>
      <c r="AG3" s="393"/>
      <c r="AH3" s="393"/>
      <c r="AI3" s="393"/>
      <c r="AJ3" s="393"/>
      <c r="AK3" s="393"/>
      <c r="AL3" s="393"/>
      <c r="AM3" s="393"/>
      <c r="AN3" s="393" t="s">
        <v>19</v>
      </c>
      <c r="AO3" s="393" t="s">
        <v>20</v>
      </c>
      <c r="AP3" s="393" t="s">
        <v>21</v>
      </c>
    </row>
    <row r="4" spans="1:42" ht="15" customHeight="1" x14ac:dyDescent="0.2">
      <c r="B4" s="398"/>
      <c r="C4" s="398"/>
      <c r="D4" s="398"/>
      <c r="E4" s="398"/>
      <c r="F4" s="398"/>
      <c r="G4" s="391"/>
      <c r="H4" s="398"/>
      <c r="I4" s="391"/>
      <c r="J4" s="391"/>
      <c r="K4" s="406"/>
      <c r="L4" s="406"/>
      <c r="M4" s="407" t="s">
        <v>37</v>
      </c>
      <c r="N4" s="408" t="s">
        <v>38</v>
      </c>
      <c r="O4" s="409" t="s">
        <v>203</v>
      </c>
      <c r="P4" s="428" t="s">
        <v>204</v>
      </c>
      <c r="Q4" s="428" t="s">
        <v>205</v>
      </c>
      <c r="R4" s="428" t="s">
        <v>206</v>
      </c>
      <c r="S4" s="411" t="s">
        <v>22</v>
      </c>
      <c r="T4" s="413"/>
      <c r="U4" s="416"/>
      <c r="V4" s="419"/>
      <c r="W4" s="419"/>
      <c r="X4" s="419"/>
      <c r="Y4" s="419"/>
      <c r="Z4" s="175"/>
      <c r="AA4" s="421"/>
      <c r="AB4" s="393"/>
      <c r="AC4" s="393"/>
      <c r="AD4" s="394" t="s">
        <v>23</v>
      </c>
      <c r="AE4" s="394" t="s">
        <v>24</v>
      </c>
      <c r="AF4" s="393" t="s">
        <v>25</v>
      </c>
      <c r="AG4" s="393" t="s">
        <v>26</v>
      </c>
      <c r="AH4" s="424" t="s">
        <v>27</v>
      </c>
      <c r="AI4" s="393" t="s">
        <v>822</v>
      </c>
      <c r="AJ4" s="393" t="s">
        <v>823</v>
      </c>
      <c r="AK4" s="394" t="s">
        <v>28</v>
      </c>
      <c r="AL4" s="426" t="s">
        <v>36</v>
      </c>
      <c r="AM4" s="393" t="s">
        <v>28</v>
      </c>
      <c r="AN4" s="393"/>
      <c r="AO4" s="395"/>
      <c r="AP4" s="393"/>
    </row>
    <row r="5" spans="1:42" ht="28.15" customHeight="1" x14ac:dyDescent="0.2">
      <c r="B5" s="399"/>
      <c r="C5" s="399"/>
      <c r="D5" s="399"/>
      <c r="E5" s="399"/>
      <c r="F5" s="399"/>
      <c r="G5" s="392"/>
      <c r="H5" s="399"/>
      <c r="I5" s="392"/>
      <c r="J5" s="392"/>
      <c r="K5" s="406"/>
      <c r="L5" s="406"/>
      <c r="M5" s="407"/>
      <c r="N5" s="408"/>
      <c r="O5" s="410"/>
      <c r="P5" s="429"/>
      <c r="Q5" s="429"/>
      <c r="R5" s="429"/>
      <c r="S5" s="411"/>
      <c r="T5" s="414"/>
      <c r="U5" s="417"/>
      <c r="V5" s="10" t="s">
        <v>29</v>
      </c>
      <c r="W5" s="10" t="s">
        <v>30</v>
      </c>
      <c r="X5" s="10" t="s">
        <v>31</v>
      </c>
      <c r="Y5" s="10" t="s">
        <v>32</v>
      </c>
      <c r="Z5" s="39" t="s">
        <v>218</v>
      </c>
      <c r="AA5" s="422"/>
      <c r="AB5" s="394"/>
      <c r="AC5" s="394"/>
      <c r="AD5" s="412"/>
      <c r="AE5" s="412"/>
      <c r="AF5" s="396"/>
      <c r="AG5" s="394"/>
      <c r="AH5" s="425"/>
      <c r="AI5" s="396"/>
      <c r="AJ5" s="396"/>
      <c r="AK5" s="412"/>
      <c r="AL5" s="427"/>
      <c r="AM5" s="396"/>
      <c r="AN5" s="394"/>
      <c r="AO5" s="396"/>
      <c r="AP5" s="394"/>
    </row>
    <row r="6" spans="1:42" ht="12" customHeight="1" x14ac:dyDescent="0.2">
      <c r="B6" s="42"/>
      <c r="C6" s="42"/>
      <c r="D6" s="42"/>
      <c r="E6" s="42"/>
      <c r="F6" s="42"/>
      <c r="G6" s="45"/>
      <c r="H6" s="42"/>
      <c r="I6" s="45"/>
      <c r="J6" s="45"/>
      <c r="K6" s="44"/>
      <c r="L6" s="44"/>
      <c r="M6" s="46"/>
      <c r="N6" s="167"/>
      <c r="O6" s="37"/>
      <c r="P6" s="37"/>
      <c r="Q6" s="37"/>
      <c r="R6" s="37"/>
      <c r="S6" s="38"/>
      <c r="T6" s="48"/>
      <c r="U6" s="49"/>
      <c r="V6" s="39"/>
      <c r="W6" s="39"/>
      <c r="X6" s="39"/>
      <c r="Y6" s="39"/>
      <c r="Z6" s="39"/>
      <c r="AA6" s="47"/>
      <c r="AB6" s="43"/>
      <c r="AC6" s="43"/>
      <c r="AD6" s="50"/>
      <c r="AE6" s="50"/>
      <c r="AF6" s="41"/>
      <c r="AG6" s="43"/>
      <c r="AH6" s="40"/>
      <c r="AI6" s="41"/>
      <c r="AJ6" s="41"/>
      <c r="AK6" s="52"/>
      <c r="AL6" s="51"/>
      <c r="AM6" s="41"/>
      <c r="AN6" s="43"/>
      <c r="AO6" s="41"/>
      <c r="AP6" s="43"/>
    </row>
    <row r="7" spans="1:42" ht="12" customHeight="1" x14ac:dyDescent="0.2">
      <c r="B7" s="42"/>
      <c r="C7" s="42"/>
      <c r="D7" s="42"/>
      <c r="E7" s="42"/>
      <c r="F7" s="42"/>
      <c r="G7" s="45"/>
      <c r="H7" s="42"/>
      <c r="I7" s="45"/>
      <c r="J7" s="45"/>
      <c r="K7" s="44"/>
      <c r="L7" s="44"/>
      <c r="M7" s="46"/>
      <c r="N7" s="167"/>
      <c r="O7" s="37"/>
      <c r="P7" s="37"/>
      <c r="Q7" s="37"/>
      <c r="R7" s="37"/>
      <c r="S7" s="38"/>
      <c r="T7" s="48"/>
      <c r="U7" s="49"/>
      <c r="V7" s="39"/>
      <c r="W7" s="39"/>
      <c r="X7" s="39"/>
      <c r="Y7" s="39"/>
      <c r="Z7" s="39"/>
      <c r="AA7" s="47"/>
      <c r="AB7" s="43"/>
      <c r="AC7" s="43"/>
      <c r="AD7" s="50"/>
      <c r="AE7" s="50"/>
      <c r="AF7" s="41"/>
      <c r="AG7" s="43"/>
      <c r="AH7" s="40"/>
      <c r="AI7" s="41"/>
      <c r="AJ7" s="41"/>
      <c r="AK7" s="52"/>
      <c r="AL7" s="51"/>
      <c r="AM7" s="41"/>
      <c r="AN7" s="43"/>
      <c r="AO7" s="41"/>
      <c r="AP7" s="43"/>
    </row>
    <row r="8" spans="1:42" ht="19.5" customHeight="1" x14ac:dyDescent="0.2">
      <c r="A8" s="24" t="s">
        <v>33</v>
      </c>
      <c r="B8" s="11"/>
      <c r="C8" s="11"/>
      <c r="D8" s="11"/>
      <c r="E8" s="11"/>
      <c r="F8" s="11"/>
      <c r="G8" s="12"/>
      <c r="H8" s="12"/>
      <c r="I8" s="12"/>
      <c r="J8" s="12"/>
      <c r="K8" s="13"/>
      <c r="L8" s="13"/>
      <c r="M8" s="14"/>
      <c r="N8" s="168"/>
      <c r="O8" s="14"/>
      <c r="P8" s="14"/>
      <c r="Q8" s="14"/>
      <c r="R8" s="14"/>
      <c r="S8" s="14"/>
      <c r="T8" s="15"/>
      <c r="U8" s="16"/>
      <c r="V8" s="16"/>
      <c r="W8" s="16"/>
      <c r="X8" s="16"/>
      <c r="Y8" s="16"/>
      <c r="Z8" s="16"/>
      <c r="AA8" s="17"/>
      <c r="AB8" s="18"/>
      <c r="AC8" s="18"/>
      <c r="AD8" s="19"/>
      <c r="AE8" s="20"/>
      <c r="AF8" s="21"/>
      <c r="AG8" s="18"/>
      <c r="AH8" s="22"/>
      <c r="AI8" s="21"/>
      <c r="AJ8" s="21"/>
      <c r="AK8" s="21"/>
      <c r="AL8" s="21"/>
      <c r="AM8" s="21"/>
      <c r="AN8" s="18"/>
      <c r="AO8" s="21"/>
      <c r="AP8" s="18"/>
    </row>
    <row r="9" spans="1:42" ht="40.5" customHeight="1" x14ac:dyDescent="0.2">
      <c r="B9" s="382" t="s">
        <v>39</v>
      </c>
      <c r="C9" s="389" t="s">
        <v>40</v>
      </c>
      <c r="D9" s="303">
        <v>0.15</v>
      </c>
      <c r="E9" s="382"/>
      <c r="F9" s="382"/>
      <c r="G9" s="387" t="s">
        <v>41</v>
      </c>
      <c r="H9" s="505">
        <v>1</v>
      </c>
      <c r="I9" s="305" t="s">
        <v>67</v>
      </c>
      <c r="J9" s="305">
        <v>3</v>
      </c>
      <c r="K9" s="304">
        <v>4</v>
      </c>
      <c r="L9" s="304" t="s">
        <v>68</v>
      </c>
      <c r="M9" s="304">
        <v>4</v>
      </c>
      <c r="N9" s="442">
        <f>SUMPRODUCT(U9:U17*Z9:Z17)*4</f>
        <v>0.36343999999999999</v>
      </c>
      <c r="O9" s="507">
        <f>S9*M9</f>
        <v>0.36343999999999999</v>
      </c>
      <c r="P9" s="445"/>
      <c r="Q9" s="445"/>
      <c r="R9" s="445"/>
      <c r="S9" s="500">
        <f>SUMPRODUCT(U9:U17*Z9:Z17)</f>
        <v>9.0859999999999996E-2</v>
      </c>
      <c r="T9" s="103" t="s">
        <v>71</v>
      </c>
      <c r="U9" s="77">
        <v>0.1</v>
      </c>
      <c r="V9" s="77">
        <v>0</v>
      </c>
      <c r="W9" s="77">
        <v>0</v>
      </c>
      <c r="X9" s="77"/>
      <c r="Y9" s="77"/>
      <c r="Z9" s="260">
        <f>SUM(V9:Y9)</f>
        <v>0</v>
      </c>
      <c r="AA9" s="58" t="s">
        <v>72</v>
      </c>
      <c r="AB9" s="103"/>
      <c r="AC9" s="103"/>
      <c r="AD9" s="303" t="s">
        <v>154</v>
      </c>
      <c r="AE9" s="343" t="s">
        <v>200</v>
      </c>
      <c r="AF9" s="125" t="s">
        <v>162</v>
      </c>
      <c r="AG9" s="66" t="s">
        <v>163</v>
      </c>
      <c r="AH9" s="67">
        <v>0</v>
      </c>
      <c r="AI9" s="95">
        <v>12000000</v>
      </c>
      <c r="AJ9" s="105">
        <v>12000000</v>
      </c>
      <c r="AK9" s="106">
        <f>+AJ9/AI9</f>
        <v>1</v>
      </c>
      <c r="AL9" s="105">
        <v>12000000</v>
      </c>
      <c r="AM9" s="107">
        <f>+AL9/AI9</f>
        <v>1</v>
      </c>
      <c r="AN9" s="108" t="s">
        <v>178</v>
      </c>
      <c r="AO9" s="101" t="s">
        <v>179</v>
      </c>
      <c r="AP9" s="63"/>
    </row>
    <row r="10" spans="1:42" ht="40.15" customHeight="1" x14ac:dyDescent="0.2">
      <c r="B10" s="382"/>
      <c r="C10" s="389"/>
      <c r="D10" s="303"/>
      <c r="E10" s="382"/>
      <c r="F10" s="382"/>
      <c r="G10" s="387"/>
      <c r="H10" s="505"/>
      <c r="I10" s="305"/>
      <c r="J10" s="305"/>
      <c r="K10" s="305"/>
      <c r="L10" s="305"/>
      <c r="M10" s="305"/>
      <c r="N10" s="443"/>
      <c r="O10" s="508"/>
      <c r="P10" s="446"/>
      <c r="Q10" s="446"/>
      <c r="R10" s="446"/>
      <c r="S10" s="501"/>
      <c r="T10" s="297" t="s">
        <v>152</v>
      </c>
      <c r="U10" s="301">
        <v>0.2</v>
      </c>
      <c r="V10" s="301">
        <v>0.18099999999999999</v>
      </c>
      <c r="W10" s="301">
        <v>0.27329999999999999</v>
      </c>
      <c r="X10" s="301"/>
      <c r="Y10" s="301"/>
      <c r="Z10" s="292">
        <f>SUM(V10:Y11)</f>
        <v>0.45429999999999998</v>
      </c>
      <c r="AA10" s="348" t="s">
        <v>72</v>
      </c>
      <c r="AB10" s="297" t="s">
        <v>800</v>
      </c>
      <c r="AC10" s="297" t="s">
        <v>182</v>
      </c>
      <c r="AD10" s="303"/>
      <c r="AE10" s="343"/>
      <c r="AF10" s="66" t="s">
        <v>158</v>
      </c>
      <c r="AG10" s="63" t="s">
        <v>159</v>
      </c>
      <c r="AH10" s="67">
        <v>110000000</v>
      </c>
      <c r="AI10" s="95">
        <v>110000000</v>
      </c>
      <c r="AJ10" s="105">
        <v>45075000</v>
      </c>
      <c r="AK10" s="106">
        <f t="shared" ref="AK10:AK76" si="0">+AJ10/AI10</f>
        <v>0.40977272727272729</v>
      </c>
      <c r="AL10" s="105">
        <v>45075000</v>
      </c>
      <c r="AM10" s="107">
        <f>+AL10/AI10</f>
        <v>0.40977272727272729</v>
      </c>
      <c r="AN10" s="108" t="s">
        <v>178</v>
      </c>
      <c r="AO10" s="101" t="s">
        <v>179</v>
      </c>
      <c r="AP10" s="63"/>
    </row>
    <row r="11" spans="1:42" ht="40.15" customHeight="1" x14ac:dyDescent="0.2">
      <c r="B11" s="382"/>
      <c r="C11" s="389"/>
      <c r="D11" s="303"/>
      <c r="E11" s="382"/>
      <c r="F11" s="382"/>
      <c r="G11" s="387"/>
      <c r="H11" s="505"/>
      <c r="I11" s="305"/>
      <c r="J11" s="305"/>
      <c r="K11" s="305"/>
      <c r="L11" s="305"/>
      <c r="M11" s="305"/>
      <c r="N11" s="443"/>
      <c r="O11" s="508"/>
      <c r="P11" s="446"/>
      <c r="Q11" s="446"/>
      <c r="R11" s="446"/>
      <c r="S11" s="501"/>
      <c r="T11" s="298"/>
      <c r="U11" s="302"/>
      <c r="V11" s="302"/>
      <c r="W11" s="302"/>
      <c r="X11" s="302"/>
      <c r="Y11" s="302"/>
      <c r="Z11" s="293"/>
      <c r="AA11" s="349"/>
      <c r="AB11" s="298"/>
      <c r="AC11" s="298"/>
      <c r="AD11" s="303"/>
      <c r="AE11" s="343"/>
      <c r="AF11" s="125" t="s">
        <v>162</v>
      </c>
      <c r="AG11" s="66" t="s">
        <v>163</v>
      </c>
      <c r="AH11" s="75">
        <v>0</v>
      </c>
      <c r="AI11" s="95">
        <v>70000000</v>
      </c>
      <c r="AJ11" s="105">
        <v>65000000</v>
      </c>
      <c r="AK11" s="106">
        <f>+AJ11/AI11</f>
        <v>0.9285714285714286</v>
      </c>
      <c r="AL11" s="105">
        <v>65000000</v>
      </c>
      <c r="AM11" s="107">
        <f>+AL11/AI11</f>
        <v>0.9285714285714286</v>
      </c>
      <c r="AN11" s="108" t="s">
        <v>178</v>
      </c>
      <c r="AO11" s="101" t="s">
        <v>179</v>
      </c>
      <c r="AP11" s="63"/>
    </row>
    <row r="12" spans="1:42" ht="40.15" customHeight="1" x14ac:dyDescent="0.2">
      <c r="B12" s="382"/>
      <c r="C12" s="389"/>
      <c r="D12" s="303"/>
      <c r="E12" s="382"/>
      <c r="F12" s="382"/>
      <c r="G12" s="387"/>
      <c r="H12" s="505"/>
      <c r="I12" s="305"/>
      <c r="J12" s="305"/>
      <c r="K12" s="305"/>
      <c r="L12" s="305"/>
      <c r="M12" s="305"/>
      <c r="N12" s="443"/>
      <c r="O12" s="508"/>
      <c r="P12" s="446"/>
      <c r="Q12" s="446"/>
      <c r="R12" s="446"/>
      <c r="S12" s="501"/>
      <c r="T12" s="348" t="s">
        <v>73</v>
      </c>
      <c r="U12" s="301">
        <v>0.2</v>
      </c>
      <c r="V12" s="301">
        <v>0</v>
      </c>
      <c r="W12" s="301">
        <v>0</v>
      </c>
      <c r="X12" s="301"/>
      <c r="Y12" s="301"/>
      <c r="Z12" s="292">
        <f>SUM(V12:Y13)</f>
        <v>0</v>
      </c>
      <c r="AA12" s="301"/>
      <c r="AB12" s="301"/>
      <c r="AC12" s="301"/>
      <c r="AD12" s="303"/>
      <c r="AE12" s="343"/>
      <c r="AF12" s="125" t="s">
        <v>824</v>
      </c>
      <c r="AG12" s="66" t="s">
        <v>825</v>
      </c>
      <c r="AH12" s="75"/>
      <c r="AI12" s="95">
        <v>1094598942.24</v>
      </c>
      <c r="AJ12" s="105"/>
      <c r="AK12" s="106">
        <f>+AJ12/AI12</f>
        <v>0</v>
      </c>
      <c r="AL12" s="105"/>
      <c r="AM12" s="107">
        <f>+AL12/AI12</f>
        <v>0</v>
      </c>
      <c r="AN12" s="108"/>
      <c r="AO12" s="101"/>
      <c r="AP12" s="63"/>
    </row>
    <row r="13" spans="1:42" ht="42.75" customHeight="1" x14ac:dyDescent="0.2">
      <c r="B13" s="382"/>
      <c r="C13" s="389"/>
      <c r="D13" s="303"/>
      <c r="E13" s="382"/>
      <c r="F13" s="382"/>
      <c r="G13" s="387"/>
      <c r="H13" s="505"/>
      <c r="I13" s="305"/>
      <c r="J13" s="305"/>
      <c r="K13" s="305"/>
      <c r="L13" s="305"/>
      <c r="M13" s="305"/>
      <c r="N13" s="443"/>
      <c r="O13" s="508"/>
      <c r="P13" s="446"/>
      <c r="Q13" s="446"/>
      <c r="R13" s="446"/>
      <c r="S13" s="501"/>
      <c r="T13" s="349"/>
      <c r="U13" s="302"/>
      <c r="V13" s="302">
        <v>0</v>
      </c>
      <c r="W13" s="302">
        <v>0</v>
      </c>
      <c r="X13" s="302"/>
      <c r="Y13" s="302"/>
      <c r="Z13" s="293"/>
      <c r="AA13" s="302" t="s">
        <v>72</v>
      </c>
      <c r="AB13" s="302"/>
      <c r="AC13" s="302"/>
      <c r="AD13" s="303"/>
      <c r="AE13" s="343"/>
      <c r="AF13" s="126" t="s">
        <v>162</v>
      </c>
      <c r="AG13" s="74" t="s">
        <v>163</v>
      </c>
      <c r="AH13" s="73">
        <v>0</v>
      </c>
      <c r="AI13" s="96">
        <v>55000000</v>
      </c>
      <c r="AJ13" s="109">
        <v>16000000</v>
      </c>
      <c r="AK13" s="106">
        <f t="shared" si="0"/>
        <v>0.29090909090909089</v>
      </c>
      <c r="AL13" s="109">
        <v>16000000</v>
      </c>
      <c r="AM13" s="107">
        <f t="shared" ref="AM13:AM77" si="1">+AL13/AI13</f>
        <v>0.29090909090909089</v>
      </c>
      <c r="AN13" s="108" t="s">
        <v>178</v>
      </c>
      <c r="AO13" s="101" t="s">
        <v>179</v>
      </c>
      <c r="AP13" s="72"/>
    </row>
    <row r="14" spans="1:42" ht="38.25" customHeight="1" x14ac:dyDescent="0.2">
      <c r="B14" s="382"/>
      <c r="C14" s="389"/>
      <c r="D14" s="303"/>
      <c r="E14" s="382"/>
      <c r="F14" s="382"/>
      <c r="G14" s="387"/>
      <c r="H14" s="505"/>
      <c r="I14" s="305"/>
      <c r="J14" s="305"/>
      <c r="K14" s="305"/>
      <c r="L14" s="305"/>
      <c r="M14" s="305"/>
      <c r="N14" s="443"/>
      <c r="O14" s="508"/>
      <c r="P14" s="446"/>
      <c r="Q14" s="446"/>
      <c r="R14" s="446"/>
      <c r="S14" s="501"/>
      <c r="T14" s="297" t="s">
        <v>74</v>
      </c>
      <c r="U14" s="301">
        <v>0.25</v>
      </c>
      <c r="V14" s="301">
        <v>0</v>
      </c>
      <c r="W14" s="301">
        <v>0</v>
      </c>
      <c r="X14" s="301"/>
      <c r="Y14" s="301"/>
      <c r="Z14" s="292">
        <f>SUM(V14:Y15)</f>
        <v>0</v>
      </c>
      <c r="AA14" s="348" t="s">
        <v>72</v>
      </c>
      <c r="AB14" s="297"/>
      <c r="AC14" s="297"/>
      <c r="AD14" s="303"/>
      <c r="AE14" s="343"/>
      <c r="AF14" s="74" t="s">
        <v>160</v>
      </c>
      <c r="AG14" s="72" t="s">
        <v>161</v>
      </c>
      <c r="AH14" s="73">
        <v>47866922</v>
      </c>
      <c r="AI14" s="96">
        <v>47866922</v>
      </c>
      <c r="AJ14" s="109">
        <v>0</v>
      </c>
      <c r="AK14" s="106">
        <f t="shared" si="0"/>
        <v>0</v>
      </c>
      <c r="AL14" s="109">
        <v>0</v>
      </c>
      <c r="AM14" s="107">
        <f t="shared" si="1"/>
        <v>0</v>
      </c>
      <c r="AN14" s="108" t="s">
        <v>178</v>
      </c>
      <c r="AO14" s="101" t="s">
        <v>179</v>
      </c>
      <c r="AP14" s="72"/>
    </row>
    <row r="15" spans="1:42" ht="31.15" customHeight="1" x14ac:dyDescent="0.2">
      <c r="B15" s="382"/>
      <c r="C15" s="389"/>
      <c r="D15" s="303"/>
      <c r="E15" s="382"/>
      <c r="F15" s="382"/>
      <c r="G15" s="387"/>
      <c r="H15" s="505"/>
      <c r="I15" s="305"/>
      <c r="J15" s="305"/>
      <c r="K15" s="305"/>
      <c r="L15" s="305"/>
      <c r="M15" s="305"/>
      <c r="N15" s="443"/>
      <c r="O15" s="508"/>
      <c r="P15" s="446"/>
      <c r="Q15" s="446"/>
      <c r="R15" s="446"/>
      <c r="S15" s="501"/>
      <c r="T15" s="298"/>
      <c r="U15" s="302"/>
      <c r="V15" s="302"/>
      <c r="W15" s="302"/>
      <c r="X15" s="302"/>
      <c r="Y15" s="302"/>
      <c r="Z15" s="293"/>
      <c r="AA15" s="349"/>
      <c r="AB15" s="298"/>
      <c r="AC15" s="298"/>
      <c r="AD15" s="303"/>
      <c r="AE15" s="343"/>
      <c r="AF15" s="127" t="s">
        <v>162</v>
      </c>
      <c r="AG15" s="78" t="s">
        <v>163</v>
      </c>
      <c r="AH15" s="68">
        <v>0</v>
      </c>
      <c r="AI15" s="97">
        <v>83000000</v>
      </c>
      <c r="AJ15" s="110"/>
      <c r="AK15" s="106">
        <f t="shared" si="0"/>
        <v>0</v>
      </c>
      <c r="AL15" s="110"/>
      <c r="AM15" s="107">
        <f t="shared" si="1"/>
        <v>0</v>
      </c>
      <c r="AN15" s="108" t="s">
        <v>178</v>
      </c>
      <c r="AO15" s="101" t="s">
        <v>179</v>
      </c>
      <c r="AP15" s="64"/>
    </row>
    <row r="16" spans="1:42" ht="31.15" customHeight="1" x14ac:dyDescent="0.2">
      <c r="B16" s="382"/>
      <c r="C16" s="389"/>
      <c r="D16" s="303"/>
      <c r="E16" s="382"/>
      <c r="F16" s="382"/>
      <c r="G16" s="387"/>
      <c r="H16" s="505"/>
      <c r="I16" s="305"/>
      <c r="J16" s="305"/>
      <c r="K16" s="305"/>
      <c r="L16" s="305"/>
      <c r="M16" s="305"/>
      <c r="N16" s="443"/>
      <c r="O16" s="508"/>
      <c r="P16" s="446"/>
      <c r="Q16" s="446"/>
      <c r="R16" s="446"/>
      <c r="S16" s="501"/>
      <c r="T16" s="92" t="s">
        <v>75</v>
      </c>
      <c r="U16" s="89">
        <v>0.15</v>
      </c>
      <c r="V16" s="89">
        <v>0</v>
      </c>
      <c r="W16" s="89">
        <v>0</v>
      </c>
      <c r="X16" s="89"/>
      <c r="Y16" s="89"/>
      <c r="Z16" s="261">
        <f t="shared" ref="Z16:Z23" si="2">SUM(V16:Y16)</f>
        <v>0</v>
      </c>
      <c r="AA16" s="59" t="s">
        <v>184</v>
      </c>
      <c r="AB16" s="92"/>
      <c r="AC16" s="92"/>
      <c r="AD16" s="303"/>
      <c r="AE16" s="343"/>
      <c r="AF16" s="127" t="s">
        <v>162</v>
      </c>
      <c r="AG16" s="78" t="s">
        <v>163</v>
      </c>
      <c r="AH16" s="68">
        <v>0</v>
      </c>
      <c r="AI16" s="97">
        <v>27000000</v>
      </c>
      <c r="AJ16" s="110">
        <v>20000000</v>
      </c>
      <c r="AK16" s="106">
        <f t="shared" si="0"/>
        <v>0.7407407407407407</v>
      </c>
      <c r="AL16" s="110">
        <v>20000000</v>
      </c>
      <c r="AM16" s="107">
        <f t="shared" si="1"/>
        <v>0.7407407407407407</v>
      </c>
      <c r="AN16" s="108" t="s">
        <v>178</v>
      </c>
      <c r="AO16" s="101" t="s">
        <v>179</v>
      </c>
      <c r="AP16" s="64"/>
    </row>
    <row r="17" spans="2:42" ht="31.15" customHeight="1" x14ac:dyDescent="0.2">
      <c r="B17" s="382"/>
      <c r="C17" s="389"/>
      <c r="D17" s="303"/>
      <c r="E17" s="379"/>
      <c r="F17" s="379"/>
      <c r="G17" s="388"/>
      <c r="H17" s="506"/>
      <c r="I17" s="306"/>
      <c r="J17" s="306"/>
      <c r="K17" s="306"/>
      <c r="L17" s="306"/>
      <c r="M17" s="306"/>
      <c r="N17" s="444"/>
      <c r="O17" s="509"/>
      <c r="P17" s="447"/>
      <c r="Q17" s="447"/>
      <c r="R17" s="447"/>
      <c r="S17" s="502"/>
      <c r="T17" s="104" t="s">
        <v>76</v>
      </c>
      <c r="U17" s="102">
        <v>0.1</v>
      </c>
      <c r="V17" s="102">
        <v>0</v>
      </c>
      <c r="W17" s="102">
        <v>0</v>
      </c>
      <c r="X17" s="102"/>
      <c r="Y17" s="102"/>
      <c r="Z17" s="263">
        <f t="shared" si="2"/>
        <v>0</v>
      </c>
      <c r="AA17" s="60" t="s">
        <v>77</v>
      </c>
      <c r="AB17" s="104"/>
      <c r="AC17" s="104"/>
      <c r="AD17" s="303"/>
      <c r="AE17" s="343"/>
      <c r="AF17" s="128" t="s">
        <v>162</v>
      </c>
      <c r="AG17" s="79" t="s">
        <v>163</v>
      </c>
      <c r="AH17" s="69">
        <v>0</v>
      </c>
      <c r="AI17" s="98">
        <v>25000000</v>
      </c>
      <c r="AJ17" s="111">
        <v>15000000</v>
      </c>
      <c r="AK17" s="106">
        <f t="shared" si="0"/>
        <v>0.6</v>
      </c>
      <c r="AL17" s="111">
        <v>15000000</v>
      </c>
      <c r="AM17" s="107">
        <f t="shared" si="1"/>
        <v>0.6</v>
      </c>
      <c r="AN17" s="108" t="s">
        <v>178</v>
      </c>
      <c r="AO17" s="101" t="s">
        <v>179</v>
      </c>
      <c r="AP17" s="65"/>
    </row>
    <row r="18" spans="2:42" ht="54" customHeight="1" x14ac:dyDescent="0.2">
      <c r="B18" s="382"/>
      <c r="C18" s="378" t="s">
        <v>43</v>
      </c>
      <c r="D18" s="299">
        <v>0.1</v>
      </c>
      <c r="E18" s="54"/>
      <c r="F18" s="54"/>
      <c r="G18" s="304" t="s">
        <v>44</v>
      </c>
      <c r="H18" s="299">
        <v>0.4</v>
      </c>
      <c r="I18" s="304" t="s">
        <v>67</v>
      </c>
      <c r="J18" s="304">
        <v>4</v>
      </c>
      <c r="K18" s="304">
        <v>4</v>
      </c>
      <c r="L18" s="304" t="s">
        <v>68</v>
      </c>
      <c r="M18" s="304">
        <v>4</v>
      </c>
      <c r="N18" s="371">
        <f>+SUMPRODUCT(Z18:Z22*U18:U22)*M18</f>
        <v>0.6</v>
      </c>
      <c r="O18" s="510">
        <f>S18*M18</f>
        <v>0.6</v>
      </c>
      <c r="P18" s="289"/>
      <c r="Q18" s="289"/>
      <c r="R18" s="289"/>
      <c r="S18" s="311">
        <f>SUMPRODUCT(U18:U22*Z18:Z22)</f>
        <v>0.15</v>
      </c>
      <c r="T18" s="81" t="s">
        <v>78</v>
      </c>
      <c r="U18" s="56">
        <v>0.4</v>
      </c>
      <c r="V18" s="264">
        <v>0</v>
      </c>
      <c r="W18" s="56">
        <v>0</v>
      </c>
      <c r="X18" s="56"/>
      <c r="Y18" s="56"/>
      <c r="Z18" s="264">
        <f t="shared" si="2"/>
        <v>0</v>
      </c>
      <c r="AA18" s="91" t="s">
        <v>184</v>
      </c>
      <c r="AB18" s="81"/>
      <c r="AC18" s="81"/>
      <c r="AD18" s="299" t="s">
        <v>157</v>
      </c>
      <c r="AE18" s="344" t="s">
        <v>199</v>
      </c>
      <c r="AF18" s="129" t="s">
        <v>164</v>
      </c>
      <c r="AG18" s="54" t="s">
        <v>161</v>
      </c>
      <c r="AH18" s="70">
        <v>20000000</v>
      </c>
      <c r="AI18" s="93">
        <v>20000000</v>
      </c>
      <c r="AJ18" s="93">
        <v>0</v>
      </c>
      <c r="AK18" s="106">
        <f t="shared" si="0"/>
        <v>0</v>
      </c>
      <c r="AL18" s="93"/>
      <c r="AM18" s="107">
        <f t="shared" si="1"/>
        <v>0</v>
      </c>
      <c r="AN18" s="108" t="s">
        <v>178</v>
      </c>
      <c r="AO18" s="101" t="s">
        <v>179</v>
      </c>
      <c r="AP18" s="54"/>
    </row>
    <row r="19" spans="2:42" ht="51" x14ac:dyDescent="0.2">
      <c r="B19" s="382"/>
      <c r="C19" s="382"/>
      <c r="D19" s="303"/>
      <c r="E19" s="54"/>
      <c r="F19" s="54"/>
      <c r="G19" s="305"/>
      <c r="H19" s="303"/>
      <c r="I19" s="305"/>
      <c r="J19" s="305"/>
      <c r="K19" s="305"/>
      <c r="L19" s="305"/>
      <c r="M19" s="305"/>
      <c r="N19" s="367"/>
      <c r="O19" s="511"/>
      <c r="P19" s="290"/>
      <c r="Q19" s="290"/>
      <c r="R19" s="290"/>
      <c r="S19" s="374"/>
      <c r="T19" s="81" t="s">
        <v>79</v>
      </c>
      <c r="U19" s="56">
        <v>0.15</v>
      </c>
      <c r="V19" s="264">
        <v>0</v>
      </c>
      <c r="W19" s="56">
        <v>1</v>
      </c>
      <c r="X19" s="56"/>
      <c r="Y19" s="56"/>
      <c r="Z19" s="264">
        <f t="shared" si="2"/>
        <v>1</v>
      </c>
      <c r="AA19" s="91" t="s">
        <v>120</v>
      </c>
      <c r="AB19" s="81" t="s">
        <v>806</v>
      </c>
      <c r="AC19" s="81" t="s">
        <v>807</v>
      </c>
      <c r="AD19" s="303"/>
      <c r="AE19" s="343"/>
      <c r="AF19" s="129" t="s">
        <v>164</v>
      </c>
      <c r="AG19" s="54" t="s">
        <v>161</v>
      </c>
      <c r="AH19" s="70">
        <v>13000000</v>
      </c>
      <c r="AI19" s="93">
        <v>13000000</v>
      </c>
      <c r="AJ19" s="93">
        <v>10000000</v>
      </c>
      <c r="AK19" s="106">
        <f t="shared" si="0"/>
        <v>0.76923076923076927</v>
      </c>
      <c r="AL19" s="93">
        <v>10000000</v>
      </c>
      <c r="AM19" s="107">
        <f t="shared" si="1"/>
        <v>0.76923076923076927</v>
      </c>
      <c r="AN19" s="108" t="s">
        <v>178</v>
      </c>
      <c r="AO19" s="101" t="s">
        <v>179</v>
      </c>
      <c r="AP19" s="54"/>
    </row>
    <row r="20" spans="2:42" ht="38.25" x14ac:dyDescent="0.2">
      <c r="B20" s="382"/>
      <c r="C20" s="382"/>
      <c r="D20" s="303"/>
      <c r="E20" s="54"/>
      <c r="F20" s="54"/>
      <c r="G20" s="305"/>
      <c r="H20" s="303"/>
      <c r="I20" s="305"/>
      <c r="J20" s="305"/>
      <c r="K20" s="305"/>
      <c r="L20" s="305"/>
      <c r="M20" s="305"/>
      <c r="N20" s="367"/>
      <c r="O20" s="511"/>
      <c r="P20" s="290"/>
      <c r="Q20" s="290"/>
      <c r="R20" s="290"/>
      <c r="S20" s="374"/>
      <c r="T20" s="81" t="s">
        <v>80</v>
      </c>
      <c r="U20" s="56">
        <v>0.1</v>
      </c>
      <c r="V20" s="264">
        <v>0</v>
      </c>
      <c r="W20" s="56">
        <v>0</v>
      </c>
      <c r="X20" s="56"/>
      <c r="Y20" s="56"/>
      <c r="Z20" s="264">
        <f t="shared" si="2"/>
        <v>0</v>
      </c>
      <c r="AA20" s="91" t="s">
        <v>183</v>
      </c>
      <c r="AB20" s="81"/>
      <c r="AC20" s="81"/>
      <c r="AD20" s="303"/>
      <c r="AE20" s="343"/>
      <c r="AF20" s="129" t="s">
        <v>164</v>
      </c>
      <c r="AG20" s="54" t="s">
        <v>161</v>
      </c>
      <c r="AH20" s="70">
        <v>5000000</v>
      </c>
      <c r="AI20" s="93">
        <v>5000000</v>
      </c>
      <c r="AJ20" s="93">
        <v>0</v>
      </c>
      <c r="AK20" s="106">
        <f t="shared" si="0"/>
        <v>0</v>
      </c>
      <c r="AL20" s="93"/>
      <c r="AM20" s="107">
        <f t="shared" si="1"/>
        <v>0</v>
      </c>
      <c r="AN20" s="108" t="s">
        <v>178</v>
      </c>
      <c r="AO20" s="101" t="s">
        <v>179</v>
      </c>
      <c r="AP20" s="54"/>
    </row>
    <row r="21" spans="2:42" ht="63" customHeight="1" x14ac:dyDescent="0.2">
      <c r="B21" s="382"/>
      <c r="C21" s="382"/>
      <c r="D21" s="303"/>
      <c r="E21" s="54"/>
      <c r="F21" s="54"/>
      <c r="G21" s="305"/>
      <c r="H21" s="303"/>
      <c r="I21" s="305"/>
      <c r="J21" s="305"/>
      <c r="K21" s="305"/>
      <c r="L21" s="305"/>
      <c r="M21" s="305"/>
      <c r="N21" s="367"/>
      <c r="O21" s="511"/>
      <c r="P21" s="290"/>
      <c r="Q21" s="290"/>
      <c r="R21" s="290"/>
      <c r="S21" s="374"/>
      <c r="T21" s="81" t="s">
        <v>81</v>
      </c>
      <c r="U21" s="56">
        <v>0.25</v>
      </c>
      <c r="V21" s="264">
        <v>0</v>
      </c>
      <c r="W21" s="56">
        <v>0</v>
      </c>
      <c r="X21" s="56"/>
      <c r="Y21" s="56"/>
      <c r="Z21" s="264">
        <f t="shared" si="2"/>
        <v>0</v>
      </c>
      <c r="AA21" s="91" t="s">
        <v>72</v>
      </c>
      <c r="AB21" s="81"/>
      <c r="AC21" s="81"/>
      <c r="AD21" s="303"/>
      <c r="AE21" s="343"/>
      <c r="AF21" s="131" t="s">
        <v>165</v>
      </c>
      <c r="AG21" s="54" t="s">
        <v>163</v>
      </c>
      <c r="AH21" s="70">
        <v>0</v>
      </c>
      <c r="AI21" s="93">
        <v>20000000</v>
      </c>
      <c r="AJ21" s="93">
        <v>10000000</v>
      </c>
      <c r="AK21" s="106">
        <f t="shared" si="0"/>
        <v>0.5</v>
      </c>
      <c r="AL21" s="93">
        <v>10000000</v>
      </c>
      <c r="AM21" s="107">
        <f t="shared" si="1"/>
        <v>0.5</v>
      </c>
      <c r="AN21" s="108" t="s">
        <v>178</v>
      </c>
      <c r="AO21" s="101" t="s">
        <v>179</v>
      </c>
      <c r="AP21" s="54"/>
    </row>
    <row r="22" spans="2:42" ht="38.25" x14ac:dyDescent="0.2">
      <c r="B22" s="382"/>
      <c r="C22" s="379"/>
      <c r="D22" s="303"/>
      <c r="E22" s="54"/>
      <c r="F22" s="54"/>
      <c r="G22" s="306"/>
      <c r="H22" s="300"/>
      <c r="I22" s="306"/>
      <c r="J22" s="306"/>
      <c r="K22" s="306"/>
      <c r="L22" s="306"/>
      <c r="M22" s="306"/>
      <c r="N22" s="368"/>
      <c r="O22" s="512"/>
      <c r="P22" s="291"/>
      <c r="Q22" s="291"/>
      <c r="R22" s="291"/>
      <c r="S22" s="312"/>
      <c r="T22" s="81" t="s">
        <v>82</v>
      </c>
      <c r="U22" s="56">
        <v>0.1</v>
      </c>
      <c r="V22" s="264">
        <v>0</v>
      </c>
      <c r="W22" s="56">
        <v>0</v>
      </c>
      <c r="X22" s="56"/>
      <c r="Y22" s="56"/>
      <c r="Z22" s="264">
        <f t="shared" si="2"/>
        <v>0</v>
      </c>
      <c r="AA22" s="91" t="s">
        <v>83</v>
      </c>
      <c r="AB22" s="81"/>
      <c r="AC22" s="81"/>
      <c r="AD22" s="303"/>
      <c r="AE22" s="343"/>
      <c r="AF22" s="129" t="s">
        <v>164</v>
      </c>
      <c r="AG22" s="54" t="s">
        <v>161</v>
      </c>
      <c r="AH22" s="70">
        <v>5757170</v>
      </c>
      <c r="AI22" s="93">
        <v>5757170</v>
      </c>
      <c r="AJ22" s="93">
        <v>0</v>
      </c>
      <c r="AK22" s="106">
        <f t="shared" si="0"/>
        <v>0</v>
      </c>
      <c r="AL22" s="93"/>
      <c r="AM22" s="107">
        <f t="shared" si="1"/>
        <v>0</v>
      </c>
      <c r="AN22" s="108" t="s">
        <v>178</v>
      </c>
      <c r="AO22" s="101" t="s">
        <v>179</v>
      </c>
      <c r="AP22" s="54"/>
    </row>
    <row r="23" spans="2:42" ht="128.44999999999999" customHeight="1" x14ac:dyDescent="0.2">
      <c r="B23" s="382"/>
      <c r="C23" s="53" t="s">
        <v>43</v>
      </c>
      <c r="D23" s="303"/>
      <c r="E23" s="54"/>
      <c r="F23" s="54"/>
      <c r="G23" s="54" t="s">
        <v>45</v>
      </c>
      <c r="H23" s="56">
        <v>0.3</v>
      </c>
      <c r="I23" s="54" t="s">
        <v>67</v>
      </c>
      <c r="J23" s="54">
        <v>10</v>
      </c>
      <c r="K23" s="54">
        <v>13</v>
      </c>
      <c r="L23" s="54" t="s">
        <v>68</v>
      </c>
      <c r="M23" s="54">
        <v>13</v>
      </c>
      <c r="N23" s="170">
        <f>+SUMPRODUCT(Z23*U23)*M23</f>
        <v>4.1989999999999998</v>
      </c>
      <c r="O23" s="513">
        <f>S23*M23</f>
        <v>4.1989999999999998</v>
      </c>
      <c r="P23" s="163"/>
      <c r="Q23" s="163"/>
      <c r="R23" s="163"/>
      <c r="S23" s="163">
        <f>+SUMPRODUCT(Z23*U23)</f>
        <v>0.32300000000000001</v>
      </c>
      <c r="T23" s="81" t="s">
        <v>84</v>
      </c>
      <c r="U23" s="56">
        <v>1</v>
      </c>
      <c r="V23" s="273">
        <v>0.2</v>
      </c>
      <c r="W23" s="263">
        <v>0.123</v>
      </c>
      <c r="X23" s="56"/>
      <c r="Y23" s="56"/>
      <c r="Z23" s="264">
        <f t="shared" si="2"/>
        <v>0.32300000000000001</v>
      </c>
      <c r="AA23" s="91" t="s">
        <v>72</v>
      </c>
      <c r="AB23" s="81" t="s">
        <v>801</v>
      </c>
      <c r="AC23" s="81" t="s">
        <v>188</v>
      </c>
      <c r="AD23" s="303"/>
      <c r="AE23" s="343"/>
      <c r="AF23" s="131" t="s">
        <v>165</v>
      </c>
      <c r="AG23" s="54" t="s">
        <v>163</v>
      </c>
      <c r="AH23" s="70">
        <v>0</v>
      </c>
      <c r="AI23" s="93">
        <v>30000000</v>
      </c>
      <c r="AJ23" s="93">
        <v>10000000</v>
      </c>
      <c r="AK23" s="106">
        <f t="shared" si="0"/>
        <v>0.33333333333333331</v>
      </c>
      <c r="AL23" s="93">
        <v>10000000</v>
      </c>
      <c r="AM23" s="107">
        <f t="shared" si="1"/>
        <v>0.33333333333333331</v>
      </c>
      <c r="AN23" s="108" t="s">
        <v>178</v>
      </c>
      <c r="AO23" s="101" t="s">
        <v>179</v>
      </c>
      <c r="AP23" s="54"/>
    </row>
    <row r="24" spans="2:42" ht="37.15" customHeight="1" x14ac:dyDescent="0.2">
      <c r="B24" s="382"/>
      <c r="C24" s="378" t="s">
        <v>43</v>
      </c>
      <c r="D24" s="303"/>
      <c r="E24" s="54"/>
      <c r="F24" s="54"/>
      <c r="G24" s="304" t="s">
        <v>46</v>
      </c>
      <c r="H24" s="299">
        <v>0.3</v>
      </c>
      <c r="I24" s="304" t="s">
        <v>67</v>
      </c>
      <c r="J24" s="304">
        <v>5</v>
      </c>
      <c r="K24" s="304">
        <v>5</v>
      </c>
      <c r="L24" s="304" t="s">
        <v>68</v>
      </c>
      <c r="M24" s="304">
        <v>5</v>
      </c>
      <c r="N24" s="371">
        <f>+(Z24*U24)*5</f>
        <v>3.3999999999999995</v>
      </c>
      <c r="O24" s="510">
        <f>S24*M24</f>
        <v>3.3999999999999995</v>
      </c>
      <c r="P24" s="311"/>
      <c r="Q24" s="311"/>
      <c r="R24" s="311"/>
      <c r="S24" s="504">
        <f>SUMPRODUCT(U24*Z24)</f>
        <v>0.67999999999999994</v>
      </c>
      <c r="T24" s="360" t="s">
        <v>85</v>
      </c>
      <c r="U24" s="299">
        <v>1</v>
      </c>
      <c r="V24" s="362">
        <v>0.2</v>
      </c>
      <c r="W24" s="299">
        <v>0.48</v>
      </c>
      <c r="X24" s="299"/>
      <c r="Y24" s="299"/>
      <c r="Z24" s="350">
        <f>SUM(V24:Y25)</f>
        <v>0.67999999999999994</v>
      </c>
      <c r="AA24" s="304" t="s">
        <v>72</v>
      </c>
      <c r="AB24" s="360" t="s">
        <v>802</v>
      </c>
      <c r="AC24" s="360" t="s">
        <v>188</v>
      </c>
      <c r="AD24" s="303"/>
      <c r="AE24" s="343"/>
      <c r="AF24" s="132" t="s">
        <v>165</v>
      </c>
      <c r="AG24" s="133" t="s">
        <v>163</v>
      </c>
      <c r="AH24" s="134">
        <v>0</v>
      </c>
      <c r="AI24" s="135">
        <v>50000000</v>
      </c>
      <c r="AJ24" s="135">
        <v>18000000</v>
      </c>
      <c r="AK24" s="106">
        <f t="shared" si="0"/>
        <v>0.36</v>
      </c>
      <c r="AL24" s="135">
        <v>18000000</v>
      </c>
      <c r="AM24" s="107">
        <f t="shared" si="1"/>
        <v>0.36</v>
      </c>
      <c r="AN24" s="108" t="s">
        <v>178</v>
      </c>
      <c r="AO24" s="101" t="s">
        <v>179</v>
      </c>
      <c r="AP24" s="304"/>
    </row>
    <row r="25" spans="2:42" ht="38.25" x14ac:dyDescent="0.2">
      <c r="B25" s="382"/>
      <c r="C25" s="379"/>
      <c r="D25" s="300"/>
      <c r="E25" s="54"/>
      <c r="F25" s="54"/>
      <c r="G25" s="306"/>
      <c r="H25" s="300"/>
      <c r="I25" s="306"/>
      <c r="J25" s="306"/>
      <c r="K25" s="306"/>
      <c r="L25" s="306"/>
      <c r="M25" s="306"/>
      <c r="N25" s="368"/>
      <c r="O25" s="512"/>
      <c r="P25" s="312"/>
      <c r="Q25" s="312"/>
      <c r="R25" s="312"/>
      <c r="S25" s="504"/>
      <c r="T25" s="361"/>
      <c r="U25" s="300"/>
      <c r="V25" s="363"/>
      <c r="W25" s="300"/>
      <c r="X25" s="300"/>
      <c r="Y25" s="300"/>
      <c r="Z25" s="352"/>
      <c r="AA25" s="306"/>
      <c r="AB25" s="361"/>
      <c r="AC25" s="361"/>
      <c r="AD25" s="300"/>
      <c r="AE25" s="345"/>
      <c r="AF25" s="130" t="s">
        <v>164</v>
      </c>
      <c r="AG25" s="84" t="s">
        <v>161</v>
      </c>
      <c r="AH25" s="85">
        <v>20000000</v>
      </c>
      <c r="AI25" s="94">
        <v>20000000</v>
      </c>
      <c r="AJ25" s="94"/>
      <c r="AK25" s="106">
        <f t="shared" si="0"/>
        <v>0</v>
      </c>
      <c r="AL25" s="94"/>
      <c r="AM25" s="107">
        <f t="shared" si="1"/>
        <v>0</v>
      </c>
      <c r="AN25" s="108" t="s">
        <v>178</v>
      </c>
      <c r="AO25" s="101" t="s">
        <v>179</v>
      </c>
      <c r="AP25" s="306"/>
    </row>
    <row r="26" spans="2:42" ht="67.900000000000006" customHeight="1" x14ac:dyDescent="0.2">
      <c r="B26" s="382"/>
      <c r="C26" s="378" t="s">
        <v>47</v>
      </c>
      <c r="D26" s="299">
        <v>0.25</v>
      </c>
      <c r="E26" s="54"/>
      <c r="F26" s="54"/>
      <c r="G26" s="383" t="s">
        <v>48</v>
      </c>
      <c r="H26" s="299">
        <v>0.35</v>
      </c>
      <c r="I26" s="304" t="s">
        <v>67</v>
      </c>
      <c r="J26" s="304">
        <v>1</v>
      </c>
      <c r="K26" s="304">
        <v>1</v>
      </c>
      <c r="L26" s="304" t="s">
        <v>68</v>
      </c>
      <c r="M26" s="304">
        <v>1</v>
      </c>
      <c r="N26" s="309">
        <f>+SUMPRODUCT(U26:U27*Z26:Z27)</f>
        <v>0.40001454545454546</v>
      </c>
      <c r="O26" s="514">
        <f>S26*M26</f>
        <v>0.40001454545454546</v>
      </c>
      <c r="P26" s="311"/>
      <c r="Q26" s="311"/>
      <c r="R26" s="311"/>
      <c r="S26" s="311">
        <f>SUMPRODUCT(U26:U27*Z26:Z27)</f>
        <v>0.40001454545454546</v>
      </c>
      <c r="T26" s="81" t="s">
        <v>86</v>
      </c>
      <c r="U26" s="56">
        <v>0.8</v>
      </c>
      <c r="V26" s="263">
        <v>0.18181818181818182</v>
      </c>
      <c r="W26" s="56">
        <v>0.31819999999999998</v>
      </c>
      <c r="X26" s="263"/>
      <c r="Y26" s="263"/>
      <c r="Z26" s="263">
        <f t="shared" ref="Z26:Z46" si="3">SUM(V26:Y26)</f>
        <v>0.50001818181818181</v>
      </c>
      <c r="AA26" s="91" t="s">
        <v>72</v>
      </c>
      <c r="AB26" s="81" t="s">
        <v>803</v>
      </c>
      <c r="AC26" s="81" t="s">
        <v>188</v>
      </c>
      <c r="AD26" s="299" t="s">
        <v>155</v>
      </c>
      <c r="AE26" s="344" t="s">
        <v>198</v>
      </c>
      <c r="AF26" s="136" t="s">
        <v>167</v>
      </c>
      <c r="AG26" s="54" t="s">
        <v>159</v>
      </c>
      <c r="AH26" s="70">
        <v>164937500</v>
      </c>
      <c r="AI26" s="99">
        <v>164937500</v>
      </c>
      <c r="AJ26" s="93">
        <f>+(2200000*5)*5+(1242500*5)</f>
        <v>61212500</v>
      </c>
      <c r="AK26" s="106">
        <f t="shared" si="0"/>
        <v>0.37112542629784007</v>
      </c>
      <c r="AL26" s="93">
        <v>61212500</v>
      </c>
      <c r="AM26" s="107">
        <f t="shared" si="1"/>
        <v>0.37112542629784007</v>
      </c>
      <c r="AN26" s="108" t="s">
        <v>178</v>
      </c>
      <c r="AO26" s="101" t="s">
        <v>179</v>
      </c>
      <c r="AP26" s="54"/>
    </row>
    <row r="27" spans="2:42" ht="54" customHeight="1" x14ac:dyDescent="0.2">
      <c r="B27" s="382"/>
      <c r="C27" s="379"/>
      <c r="D27" s="303"/>
      <c r="E27" s="54"/>
      <c r="F27" s="54"/>
      <c r="G27" s="385"/>
      <c r="H27" s="300"/>
      <c r="I27" s="306"/>
      <c r="J27" s="306"/>
      <c r="K27" s="306"/>
      <c r="L27" s="306"/>
      <c r="M27" s="306"/>
      <c r="N27" s="310"/>
      <c r="O27" s="515"/>
      <c r="P27" s="312"/>
      <c r="Q27" s="312"/>
      <c r="R27" s="312"/>
      <c r="S27" s="312"/>
      <c r="T27" s="81" t="s">
        <v>87</v>
      </c>
      <c r="U27" s="56">
        <v>0.2</v>
      </c>
      <c r="V27" s="263">
        <v>0</v>
      </c>
      <c r="W27" s="263">
        <v>0</v>
      </c>
      <c r="X27" s="263"/>
      <c r="Y27" s="263"/>
      <c r="Z27" s="263">
        <f t="shared" si="3"/>
        <v>0</v>
      </c>
      <c r="AA27" s="91" t="s">
        <v>72</v>
      </c>
      <c r="AB27" s="81"/>
      <c r="AC27" s="81"/>
      <c r="AD27" s="303"/>
      <c r="AE27" s="343"/>
      <c r="AF27" s="54" t="s">
        <v>70</v>
      </c>
      <c r="AG27" s="91" t="s">
        <v>70</v>
      </c>
      <c r="AH27" s="91" t="s">
        <v>70</v>
      </c>
      <c r="AI27" s="112" t="s">
        <v>70</v>
      </c>
      <c r="AJ27" s="112" t="s">
        <v>70</v>
      </c>
      <c r="AK27" s="112" t="s">
        <v>70</v>
      </c>
      <c r="AL27" s="112" t="s">
        <v>70</v>
      </c>
      <c r="AM27" s="112" t="s">
        <v>70</v>
      </c>
      <c r="AN27" s="108" t="s">
        <v>178</v>
      </c>
      <c r="AO27" s="101" t="s">
        <v>179</v>
      </c>
      <c r="AP27" s="54"/>
    </row>
    <row r="28" spans="2:42" ht="89.25" x14ac:dyDescent="0.2">
      <c r="B28" s="382"/>
      <c r="C28" s="378" t="s">
        <v>47</v>
      </c>
      <c r="D28" s="303"/>
      <c r="E28" s="54"/>
      <c r="F28" s="54"/>
      <c r="G28" s="304" t="s">
        <v>49</v>
      </c>
      <c r="H28" s="299">
        <v>0.5</v>
      </c>
      <c r="I28" s="304" t="s">
        <v>67</v>
      </c>
      <c r="J28" s="304">
        <v>18</v>
      </c>
      <c r="K28" s="304">
        <v>18</v>
      </c>
      <c r="L28" s="304" t="s">
        <v>68</v>
      </c>
      <c r="M28" s="304">
        <v>18</v>
      </c>
      <c r="N28" s="433">
        <f>+SUMPRODUCT(U28:U45*Z28:Z45)*M28</f>
        <v>9.0000000000000018</v>
      </c>
      <c r="O28" s="510">
        <f>S28*M28</f>
        <v>9.0000000000000018</v>
      </c>
      <c r="P28" s="294"/>
      <c r="Q28" s="294"/>
      <c r="R28" s="294"/>
      <c r="S28" s="436">
        <f>SUMPRODUCT(U28:U45*Z28:Z45)</f>
        <v>0.50000000000000011</v>
      </c>
      <c r="T28" s="81" t="s">
        <v>88</v>
      </c>
      <c r="U28" s="263">
        <v>5.5555555555555552E-2</v>
      </c>
      <c r="V28" s="266">
        <v>0.5</v>
      </c>
      <c r="W28" s="263">
        <v>0</v>
      </c>
      <c r="X28" s="263"/>
      <c r="Y28" s="263"/>
      <c r="Z28" s="263">
        <f t="shared" si="3"/>
        <v>0.5</v>
      </c>
      <c r="AA28" s="91" t="s">
        <v>72</v>
      </c>
      <c r="AB28" s="81" t="s">
        <v>189</v>
      </c>
      <c r="AC28" s="81" t="s">
        <v>188</v>
      </c>
      <c r="AD28" s="303"/>
      <c r="AE28" s="343"/>
      <c r="AF28" s="324" t="s">
        <v>167</v>
      </c>
      <c r="AG28" s="304" t="s">
        <v>159</v>
      </c>
      <c r="AH28" s="325">
        <v>419767500</v>
      </c>
      <c r="AI28" s="327">
        <v>419767500</v>
      </c>
      <c r="AJ28" s="319">
        <f>+(1525000*30)*4.5+6920000</f>
        <v>212795000</v>
      </c>
      <c r="AK28" s="332">
        <f>+AJ28/AI28</f>
        <v>0.50693538685105444</v>
      </c>
      <c r="AL28" s="319">
        <v>212795000</v>
      </c>
      <c r="AM28" s="316">
        <f t="shared" si="1"/>
        <v>0.50693538685105444</v>
      </c>
      <c r="AN28" s="108" t="s">
        <v>178</v>
      </c>
      <c r="AO28" s="101" t="s">
        <v>179</v>
      </c>
      <c r="AP28" s="54"/>
    </row>
    <row r="29" spans="2:42" ht="89.25" x14ac:dyDescent="0.2">
      <c r="B29" s="382"/>
      <c r="C29" s="382"/>
      <c r="D29" s="303"/>
      <c r="E29" s="54"/>
      <c r="F29" s="54"/>
      <c r="G29" s="305"/>
      <c r="H29" s="303"/>
      <c r="I29" s="305"/>
      <c r="J29" s="305"/>
      <c r="K29" s="305"/>
      <c r="L29" s="305"/>
      <c r="M29" s="305"/>
      <c r="N29" s="434"/>
      <c r="O29" s="511"/>
      <c r="P29" s="295"/>
      <c r="Q29" s="295"/>
      <c r="R29" s="295"/>
      <c r="S29" s="437"/>
      <c r="T29" s="81" t="s">
        <v>89</v>
      </c>
      <c r="U29" s="263">
        <v>5.5555555555555552E-2</v>
      </c>
      <c r="V29" s="266">
        <v>0.5</v>
      </c>
      <c r="W29" s="263">
        <v>0</v>
      </c>
      <c r="X29" s="263"/>
      <c r="Y29" s="263"/>
      <c r="Z29" s="263">
        <f t="shared" si="3"/>
        <v>0.5</v>
      </c>
      <c r="AA29" s="91" t="s">
        <v>72</v>
      </c>
      <c r="AB29" s="81" t="s">
        <v>189</v>
      </c>
      <c r="AC29" s="81" t="s">
        <v>188</v>
      </c>
      <c r="AD29" s="303"/>
      <c r="AE29" s="343"/>
      <c r="AF29" s="305"/>
      <c r="AG29" s="305"/>
      <c r="AH29" s="329"/>
      <c r="AI29" s="331"/>
      <c r="AJ29" s="320"/>
      <c r="AK29" s="333"/>
      <c r="AL29" s="320"/>
      <c r="AM29" s="317"/>
      <c r="AN29" s="108" t="s">
        <v>178</v>
      </c>
      <c r="AO29" s="101" t="s">
        <v>179</v>
      </c>
      <c r="AP29" s="54"/>
    </row>
    <row r="30" spans="2:42" ht="89.25" x14ac:dyDescent="0.2">
      <c r="B30" s="382"/>
      <c r="C30" s="382"/>
      <c r="D30" s="303"/>
      <c r="E30" s="54"/>
      <c r="F30" s="54"/>
      <c r="G30" s="305"/>
      <c r="H30" s="303"/>
      <c r="I30" s="305"/>
      <c r="J30" s="305"/>
      <c r="K30" s="305"/>
      <c r="L30" s="305"/>
      <c r="M30" s="305"/>
      <c r="N30" s="434"/>
      <c r="O30" s="511"/>
      <c r="P30" s="295"/>
      <c r="Q30" s="295"/>
      <c r="R30" s="295"/>
      <c r="S30" s="437"/>
      <c r="T30" s="81" t="s">
        <v>90</v>
      </c>
      <c r="U30" s="263">
        <v>5.5555555555555552E-2</v>
      </c>
      <c r="V30" s="266">
        <v>0.5</v>
      </c>
      <c r="W30" s="263">
        <v>0</v>
      </c>
      <c r="X30" s="263"/>
      <c r="Y30" s="263"/>
      <c r="Z30" s="263">
        <f t="shared" si="3"/>
        <v>0.5</v>
      </c>
      <c r="AA30" s="91" t="s">
        <v>72</v>
      </c>
      <c r="AB30" s="81" t="s">
        <v>189</v>
      </c>
      <c r="AC30" s="81" t="s">
        <v>188</v>
      </c>
      <c r="AD30" s="303"/>
      <c r="AE30" s="343"/>
      <c r="AF30" s="305"/>
      <c r="AG30" s="305"/>
      <c r="AH30" s="329"/>
      <c r="AI30" s="331"/>
      <c r="AJ30" s="320"/>
      <c r="AK30" s="333"/>
      <c r="AL30" s="320"/>
      <c r="AM30" s="317"/>
      <c r="AN30" s="108" t="s">
        <v>178</v>
      </c>
      <c r="AO30" s="101" t="s">
        <v>179</v>
      </c>
      <c r="AP30" s="54"/>
    </row>
    <row r="31" spans="2:42" ht="89.25" x14ac:dyDescent="0.2">
      <c r="B31" s="382"/>
      <c r="C31" s="382"/>
      <c r="D31" s="303"/>
      <c r="E31" s="54"/>
      <c r="F31" s="54"/>
      <c r="G31" s="305"/>
      <c r="H31" s="303"/>
      <c r="I31" s="305"/>
      <c r="J31" s="305"/>
      <c r="K31" s="305"/>
      <c r="L31" s="305"/>
      <c r="M31" s="305"/>
      <c r="N31" s="434"/>
      <c r="O31" s="511"/>
      <c r="P31" s="295"/>
      <c r="Q31" s="295"/>
      <c r="R31" s="295"/>
      <c r="S31" s="437"/>
      <c r="T31" s="81" t="s">
        <v>91</v>
      </c>
      <c r="U31" s="263">
        <v>5.5555555555555552E-2</v>
      </c>
      <c r="V31" s="266">
        <v>0.5</v>
      </c>
      <c r="W31" s="263">
        <v>0</v>
      </c>
      <c r="X31" s="263"/>
      <c r="Y31" s="263"/>
      <c r="Z31" s="263">
        <f t="shared" si="3"/>
        <v>0.5</v>
      </c>
      <c r="AA31" s="91" t="s">
        <v>72</v>
      </c>
      <c r="AB31" s="81" t="s">
        <v>189</v>
      </c>
      <c r="AC31" s="81" t="s">
        <v>188</v>
      </c>
      <c r="AD31" s="303"/>
      <c r="AE31" s="343"/>
      <c r="AF31" s="305"/>
      <c r="AG31" s="305"/>
      <c r="AH31" s="329"/>
      <c r="AI31" s="331"/>
      <c r="AJ31" s="320"/>
      <c r="AK31" s="333"/>
      <c r="AL31" s="320"/>
      <c r="AM31" s="317"/>
      <c r="AN31" s="108" t="s">
        <v>178</v>
      </c>
      <c r="AO31" s="101" t="s">
        <v>179</v>
      </c>
      <c r="AP31" s="54"/>
    </row>
    <row r="32" spans="2:42" ht="89.25" x14ac:dyDescent="0.2">
      <c r="B32" s="382"/>
      <c r="C32" s="382"/>
      <c r="D32" s="303"/>
      <c r="E32" s="54"/>
      <c r="F32" s="54"/>
      <c r="G32" s="305"/>
      <c r="H32" s="303"/>
      <c r="I32" s="305"/>
      <c r="J32" s="305"/>
      <c r="K32" s="305"/>
      <c r="L32" s="305"/>
      <c r="M32" s="305"/>
      <c r="N32" s="434"/>
      <c r="O32" s="511"/>
      <c r="P32" s="295"/>
      <c r="Q32" s="295"/>
      <c r="R32" s="295"/>
      <c r="S32" s="437"/>
      <c r="T32" s="81" t="s">
        <v>92</v>
      </c>
      <c r="U32" s="263">
        <v>5.5555555555555552E-2</v>
      </c>
      <c r="V32" s="266">
        <v>0.5</v>
      </c>
      <c r="W32" s="263">
        <v>0</v>
      </c>
      <c r="X32" s="263"/>
      <c r="Y32" s="263"/>
      <c r="Z32" s="263">
        <f t="shared" si="3"/>
        <v>0.5</v>
      </c>
      <c r="AA32" s="91" t="s">
        <v>72</v>
      </c>
      <c r="AB32" s="81" t="s">
        <v>189</v>
      </c>
      <c r="AC32" s="81" t="s">
        <v>188</v>
      </c>
      <c r="AD32" s="303"/>
      <c r="AE32" s="343"/>
      <c r="AF32" s="305"/>
      <c r="AG32" s="305"/>
      <c r="AH32" s="329"/>
      <c r="AI32" s="331"/>
      <c r="AJ32" s="320"/>
      <c r="AK32" s="333"/>
      <c r="AL32" s="320"/>
      <c r="AM32" s="317"/>
      <c r="AN32" s="108" t="s">
        <v>178</v>
      </c>
      <c r="AO32" s="101" t="s">
        <v>179</v>
      </c>
      <c r="AP32" s="54"/>
    </row>
    <row r="33" spans="2:42" ht="89.25" x14ac:dyDescent="0.2">
      <c r="B33" s="382"/>
      <c r="C33" s="382"/>
      <c r="D33" s="303"/>
      <c r="E33" s="54"/>
      <c r="F33" s="54"/>
      <c r="G33" s="305"/>
      <c r="H33" s="303"/>
      <c r="I33" s="305"/>
      <c r="J33" s="305"/>
      <c r="K33" s="305"/>
      <c r="L33" s="305"/>
      <c r="M33" s="305"/>
      <c r="N33" s="434"/>
      <c r="O33" s="511"/>
      <c r="P33" s="295"/>
      <c r="Q33" s="295"/>
      <c r="R33" s="295"/>
      <c r="S33" s="437"/>
      <c r="T33" s="81" t="s">
        <v>93</v>
      </c>
      <c r="U33" s="263">
        <v>5.5555555555555552E-2</v>
      </c>
      <c r="V33" s="266">
        <v>0.5</v>
      </c>
      <c r="W33" s="263">
        <v>0</v>
      </c>
      <c r="X33" s="263"/>
      <c r="Y33" s="263"/>
      <c r="Z33" s="263">
        <f t="shared" si="3"/>
        <v>0.5</v>
      </c>
      <c r="AA33" s="91" t="s">
        <v>72</v>
      </c>
      <c r="AB33" s="81" t="s">
        <v>189</v>
      </c>
      <c r="AC33" s="81" t="s">
        <v>188</v>
      </c>
      <c r="AD33" s="303"/>
      <c r="AE33" s="343"/>
      <c r="AF33" s="305"/>
      <c r="AG33" s="305"/>
      <c r="AH33" s="329"/>
      <c r="AI33" s="331"/>
      <c r="AJ33" s="320"/>
      <c r="AK33" s="333"/>
      <c r="AL33" s="320"/>
      <c r="AM33" s="317"/>
      <c r="AN33" s="108" t="s">
        <v>178</v>
      </c>
      <c r="AO33" s="101" t="s">
        <v>179</v>
      </c>
      <c r="AP33" s="54"/>
    </row>
    <row r="34" spans="2:42" ht="89.25" x14ac:dyDescent="0.2">
      <c r="B34" s="382"/>
      <c r="C34" s="382"/>
      <c r="D34" s="303"/>
      <c r="E34" s="54"/>
      <c r="F34" s="54"/>
      <c r="G34" s="305"/>
      <c r="H34" s="303"/>
      <c r="I34" s="305"/>
      <c r="J34" s="305"/>
      <c r="K34" s="305"/>
      <c r="L34" s="305"/>
      <c r="M34" s="305"/>
      <c r="N34" s="434"/>
      <c r="O34" s="511"/>
      <c r="P34" s="295"/>
      <c r="Q34" s="295"/>
      <c r="R34" s="295"/>
      <c r="S34" s="437"/>
      <c r="T34" s="81" t="s">
        <v>94</v>
      </c>
      <c r="U34" s="263">
        <v>5.5555555555555552E-2</v>
      </c>
      <c r="V34" s="266">
        <v>0.5</v>
      </c>
      <c r="W34" s="263">
        <v>0</v>
      </c>
      <c r="X34" s="263"/>
      <c r="Y34" s="263"/>
      <c r="Z34" s="263">
        <f t="shared" si="3"/>
        <v>0.5</v>
      </c>
      <c r="AA34" s="91" t="s">
        <v>72</v>
      </c>
      <c r="AB34" s="81" t="s">
        <v>189</v>
      </c>
      <c r="AC34" s="81" t="s">
        <v>188</v>
      </c>
      <c r="AD34" s="303"/>
      <c r="AE34" s="343"/>
      <c r="AF34" s="305"/>
      <c r="AG34" s="305"/>
      <c r="AH34" s="329"/>
      <c r="AI34" s="331"/>
      <c r="AJ34" s="320"/>
      <c r="AK34" s="333"/>
      <c r="AL34" s="320"/>
      <c r="AM34" s="317"/>
      <c r="AN34" s="108" t="s">
        <v>178</v>
      </c>
      <c r="AO34" s="101" t="s">
        <v>179</v>
      </c>
      <c r="AP34" s="54"/>
    </row>
    <row r="35" spans="2:42" ht="89.25" x14ac:dyDescent="0.2">
      <c r="B35" s="382"/>
      <c r="C35" s="382"/>
      <c r="D35" s="303"/>
      <c r="E35" s="54"/>
      <c r="F35" s="54"/>
      <c r="G35" s="305"/>
      <c r="H35" s="303"/>
      <c r="I35" s="305"/>
      <c r="J35" s="305"/>
      <c r="K35" s="305"/>
      <c r="L35" s="305"/>
      <c r="M35" s="305"/>
      <c r="N35" s="434"/>
      <c r="O35" s="511"/>
      <c r="P35" s="295"/>
      <c r="Q35" s="295"/>
      <c r="R35" s="295"/>
      <c r="S35" s="437"/>
      <c r="T35" s="81" t="s">
        <v>95</v>
      </c>
      <c r="U35" s="263">
        <v>5.5555555555555552E-2</v>
      </c>
      <c r="V35" s="266">
        <v>0.5</v>
      </c>
      <c r="W35" s="263">
        <v>0</v>
      </c>
      <c r="X35" s="263"/>
      <c r="Y35" s="263"/>
      <c r="Z35" s="263">
        <f t="shared" si="3"/>
        <v>0.5</v>
      </c>
      <c r="AA35" s="91" t="s">
        <v>72</v>
      </c>
      <c r="AB35" s="81" t="s">
        <v>189</v>
      </c>
      <c r="AC35" s="81" t="s">
        <v>188</v>
      </c>
      <c r="AD35" s="303"/>
      <c r="AE35" s="343"/>
      <c r="AF35" s="306"/>
      <c r="AG35" s="306"/>
      <c r="AH35" s="326"/>
      <c r="AI35" s="328"/>
      <c r="AJ35" s="321"/>
      <c r="AK35" s="333"/>
      <c r="AL35" s="321"/>
      <c r="AM35" s="317"/>
      <c r="AN35" s="108" t="s">
        <v>178</v>
      </c>
      <c r="AO35" s="101" t="s">
        <v>179</v>
      </c>
      <c r="AP35" s="54"/>
    </row>
    <row r="36" spans="2:42" ht="92.45" customHeight="1" x14ac:dyDescent="0.2">
      <c r="B36" s="382"/>
      <c r="C36" s="382"/>
      <c r="D36" s="303"/>
      <c r="E36" s="54"/>
      <c r="F36" s="54"/>
      <c r="G36" s="305"/>
      <c r="H36" s="303"/>
      <c r="I36" s="305"/>
      <c r="J36" s="305"/>
      <c r="K36" s="305"/>
      <c r="L36" s="305"/>
      <c r="M36" s="305"/>
      <c r="N36" s="434"/>
      <c r="O36" s="511"/>
      <c r="P36" s="295"/>
      <c r="Q36" s="295"/>
      <c r="R36" s="295"/>
      <c r="S36" s="437"/>
      <c r="T36" s="81" t="s">
        <v>96</v>
      </c>
      <c r="U36" s="263">
        <v>5.5555555555555552E-2</v>
      </c>
      <c r="V36" s="266">
        <v>0.5</v>
      </c>
      <c r="W36" s="263">
        <v>0</v>
      </c>
      <c r="X36" s="263"/>
      <c r="Y36" s="263"/>
      <c r="Z36" s="263">
        <f t="shared" si="3"/>
        <v>0.5</v>
      </c>
      <c r="AA36" s="91" t="s">
        <v>72</v>
      </c>
      <c r="AB36" s="81" t="s">
        <v>189</v>
      </c>
      <c r="AC36" s="81" t="s">
        <v>188</v>
      </c>
      <c r="AD36" s="303"/>
      <c r="AE36" s="343"/>
      <c r="AF36" s="346" t="s">
        <v>166</v>
      </c>
      <c r="AG36" s="305" t="s">
        <v>163</v>
      </c>
      <c r="AH36" s="307">
        <v>0</v>
      </c>
      <c r="AI36" s="331">
        <f>173957500-95542500</f>
        <v>78415000</v>
      </c>
      <c r="AJ36" s="320">
        <v>75500000</v>
      </c>
      <c r="AK36" s="332">
        <f>+AJ36/AI36</f>
        <v>0.96282598992539692</v>
      </c>
      <c r="AL36" s="320">
        <v>75500000</v>
      </c>
      <c r="AM36" s="316">
        <f>+AL36/AI36</f>
        <v>0.96282598992539692</v>
      </c>
      <c r="AN36" s="108" t="s">
        <v>178</v>
      </c>
      <c r="AO36" s="101" t="s">
        <v>179</v>
      </c>
      <c r="AP36" s="54"/>
    </row>
    <row r="37" spans="2:42" ht="89.25" x14ac:dyDescent="0.2">
      <c r="B37" s="382"/>
      <c r="C37" s="382"/>
      <c r="D37" s="303"/>
      <c r="E37" s="54"/>
      <c r="F37" s="54"/>
      <c r="G37" s="305"/>
      <c r="H37" s="303"/>
      <c r="I37" s="305"/>
      <c r="J37" s="305"/>
      <c r="K37" s="305"/>
      <c r="L37" s="305"/>
      <c r="M37" s="305"/>
      <c r="N37" s="434"/>
      <c r="O37" s="511"/>
      <c r="P37" s="295"/>
      <c r="Q37" s="295"/>
      <c r="R37" s="295"/>
      <c r="S37" s="437"/>
      <c r="T37" s="81" t="s">
        <v>97</v>
      </c>
      <c r="U37" s="263">
        <v>5.5555555555555552E-2</v>
      </c>
      <c r="V37" s="266">
        <v>0.5</v>
      </c>
      <c r="W37" s="263">
        <v>0</v>
      </c>
      <c r="X37" s="263"/>
      <c r="Y37" s="263"/>
      <c r="Z37" s="263">
        <f t="shared" si="3"/>
        <v>0.5</v>
      </c>
      <c r="AA37" s="91" t="s">
        <v>72</v>
      </c>
      <c r="AB37" s="81" t="s">
        <v>189</v>
      </c>
      <c r="AC37" s="81" t="s">
        <v>188</v>
      </c>
      <c r="AD37" s="303"/>
      <c r="AE37" s="343"/>
      <c r="AF37" s="305"/>
      <c r="AG37" s="305"/>
      <c r="AH37" s="308"/>
      <c r="AI37" s="331"/>
      <c r="AJ37" s="320"/>
      <c r="AK37" s="333"/>
      <c r="AL37" s="320"/>
      <c r="AM37" s="317"/>
      <c r="AN37" s="108" t="s">
        <v>178</v>
      </c>
      <c r="AO37" s="101" t="s">
        <v>179</v>
      </c>
      <c r="AP37" s="54"/>
    </row>
    <row r="38" spans="2:42" ht="89.25" x14ac:dyDescent="0.2">
      <c r="B38" s="382"/>
      <c r="C38" s="382"/>
      <c r="D38" s="303"/>
      <c r="E38" s="54"/>
      <c r="F38" s="54"/>
      <c r="G38" s="305"/>
      <c r="H38" s="303"/>
      <c r="I38" s="305"/>
      <c r="J38" s="305"/>
      <c r="K38" s="305"/>
      <c r="L38" s="305"/>
      <c r="M38" s="305"/>
      <c r="N38" s="434"/>
      <c r="O38" s="511"/>
      <c r="P38" s="295"/>
      <c r="Q38" s="295"/>
      <c r="R38" s="295"/>
      <c r="S38" s="437"/>
      <c r="T38" s="81" t="s">
        <v>98</v>
      </c>
      <c r="U38" s="263">
        <v>5.5555555555555552E-2</v>
      </c>
      <c r="V38" s="266">
        <v>0.5</v>
      </c>
      <c r="W38" s="263">
        <v>0</v>
      </c>
      <c r="X38" s="263"/>
      <c r="Y38" s="263"/>
      <c r="Z38" s="263">
        <f t="shared" si="3"/>
        <v>0.5</v>
      </c>
      <c r="AA38" s="91" t="s">
        <v>72</v>
      </c>
      <c r="AB38" s="81" t="s">
        <v>189</v>
      </c>
      <c r="AC38" s="81" t="s">
        <v>188</v>
      </c>
      <c r="AD38" s="303"/>
      <c r="AE38" s="343"/>
      <c r="AF38" s="305"/>
      <c r="AG38" s="305"/>
      <c r="AH38" s="308"/>
      <c r="AI38" s="331"/>
      <c r="AJ38" s="320"/>
      <c r="AK38" s="333"/>
      <c r="AL38" s="320"/>
      <c r="AM38" s="317"/>
      <c r="AN38" s="108" t="s">
        <v>178</v>
      </c>
      <c r="AO38" s="101" t="s">
        <v>179</v>
      </c>
      <c r="AP38" s="54"/>
    </row>
    <row r="39" spans="2:42" ht="89.25" x14ac:dyDescent="0.2">
      <c r="B39" s="382"/>
      <c r="C39" s="382"/>
      <c r="D39" s="303"/>
      <c r="E39" s="54"/>
      <c r="F39" s="54"/>
      <c r="G39" s="305"/>
      <c r="H39" s="303"/>
      <c r="I39" s="305"/>
      <c r="J39" s="305"/>
      <c r="K39" s="305"/>
      <c r="L39" s="305"/>
      <c r="M39" s="305"/>
      <c r="N39" s="434"/>
      <c r="O39" s="511"/>
      <c r="P39" s="295"/>
      <c r="Q39" s="295"/>
      <c r="R39" s="295"/>
      <c r="S39" s="437"/>
      <c r="T39" s="81" t="s">
        <v>99</v>
      </c>
      <c r="U39" s="263">
        <v>5.5555555555555552E-2</v>
      </c>
      <c r="V39" s="266">
        <v>0.5</v>
      </c>
      <c r="W39" s="263">
        <v>0</v>
      </c>
      <c r="X39" s="263"/>
      <c r="Y39" s="263"/>
      <c r="Z39" s="263">
        <f t="shared" si="3"/>
        <v>0.5</v>
      </c>
      <c r="AA39" s="91" t="s">
        <v>72</v>
      </c>
      <c r="AB39" s="81" t="s">
        <v>189</v>
      </c>
      <c r="AC39" s="81" t="s">
        <v>188</v>
      </c>
      <c r="AD39" s="303"/>
      <c r="AE39" s="343"/>
      <c r="AF39" s="305"/>
      <c r="AG39" s="305"/>
      <c r="AH39" s="308"/>
      <c r="AI39" s="331"/>
      <c r="AJ39" s="320"/>
      <c r="AK39" s="333"/>
      <c r="AL39" s="320"/>
      <c r="AM39" s="317"/>
      <c r="AN39" s="108" t="s">
        <v>178</v>
      </c>
      <c r="AO39" s="101" t="s">
        <v>179</v>
      </c>
      <c r="AP39" s="54"/>
    </row>
    <row r="40" spans="2:42" ht="89.25" x14ac:dyDescent="0.2">
      <c r="B40" s="382"/>
      <c r="C40" s="382"/>
      <c r="D40" s="303"/>
      <c r="E40" s="54"/>
      <c r="F40" s="54"/>
      <c r="G40" s="305"/>
      <c r="H40" s="303"/>
      <c r="I40" s="305"/>
      <c r="J40" s="305"/>
      <c r="K40" s="305"/>
      <c r="L40" s="305"/>
      <c r="M40" s="305"/>
      <c r="N40" s="434"/>
      <c r="O40" s="511"/>
      <c r="P40" s="295"/>
      <c r="Q40" s="295"/>
      <c r="R40" s="295"/>
      <c r="S40" s="437"/>
      <c r="T40" s="81" t="s">
        <v>100</v>
      </c>
      <c r="U40" s="263">
        <v>5.5555555555555552E-2</v>
      </c>
      <c r="V40" s="266">
        <v>0.5</v>
      </c>
      <c r="W40" s="263">
        <v>0</v>
      </c>
      <c r="X40" s="263"/>
      <c r="Y40" s="263"/>
      <c r="Z40" s="263">
        <f t="shared" si="3"/>
        <v>0.5</v>
      </c>
      <c r="AA40" s="91" t="s">
        <v>72</v>
      </c>
      <c r="AB40" s="81" t="s">
        <v>189</v>
      </c>
      <c r="AC40" s="81" t="s">
        <v>188</v>
      </c>
      <c r="AD40" s="303"/>
      <c r="AE40" s="343"/>
      <c r="AF40" s="305"/>
      <c r="AG40" s="305"/>
      <c r="AH40" s="308"/>
      <c r="AI40" s="331"/>
      <c r="AJ40" s="320"/>
      <c r="AK40" s="333"/>
      <c r="AL40" s="320"/>
      <c r="AM40" s="317"/>
      <c r="AN40" s="108" t="s">
        <v>178</v>
      </c>
      <c r="AO40" s="101" t="s">
        <v>179</v>
      </c>
      <c r="AP40" s="54"/>
    </row>
    <row r="41" spans="2:42" ht="89.25" x14ac:dyDescent="0.2">
      <c r="B41" s="382"/>
      <c r="C41" s="382"/>
      <c r="D41" s="303"/>
      <c r="E41" s="54"/>
      <c r="F41" s="54"/>
      <c r="G41" s="305"/>
      <c r="H41" s="303"/>
      <c r="I41" s="305"/>
      <c r="J41" s="305"/>
      <c r="K41" s="305"/>
      <c r="L41" s="305"/>
      <c r="M41" s="305"/>
      <c r="N41" s="434"/>
      <c r="O41" s="511"/>
      <c r="P41" s="295"/>
      <c r="Q41" s="295"/>
      <c r="R41" s="295"/>
      <c r="S41" s="437"/>
      <c r="T41" s="81" t="s">
        <v>101</v>
      </c>
      <c r="U41" s="263">
        <v>5.5555555555555552E-2</v>
      </c>
      <c r="V41" s="266">
        <v>0.5</v>
      </c>
      <c r="W41" s="263">
        <v>0</v>
      </c>
      <c r="X41" s="263"/>
      <c r="Y41" s="263"/>
      <c r="Z41" s="263">
        <f t="shared" si="3"/>
        <v>0.5</v>
      </c>
      <c r="AA41" s="91" t="s">
        <v>72</v>
      </c>
      <c r="AB41" s="81" t="s">
        <v>189</v>
      </c>
      <c r="AC41" s="81" t="s">
        <v>188</v>
      </c>
      <c r="AD41" s="303"/>
      <c r="AE41" s="343"/>
      <c r="AF41" s="305"/>
      <c r="AG41" s="305"/>
      <c r="AH41" s="308"/>
      <c r="AI41" s="331"/>
      <c r="AJ41" s="320"/>
      <c r="AK41" s="333"/>
      <c r="AL41" s="320"/>
      <c r="AM41" s="317"/>
      <c r="AN41" s="108" t="s">
        <v>178</v>
      </c>
      <c r="AO41" s="101" t="s">
        <v>179</v>
      </c>
      <c r="AP41" s="54"/>
    </row>
    <row r="42" spans="2:42" ht="89.25" x14ac:dyDescent="0.2">
      <c r="B42" s="382"/>
      <c r="C42" s="382"/>
      <c r="D42" s="303"/>
      <c r="E42" s="54"/>
      <c r="F42" s="54"/>
      <c r="G42" s="305"/>
      <c r="H42" s="303"/>
      <c r="I42" s="305"/>
      <c r="J42" s="305"/>
      <c r="K42" s="305"/>
      <c r="L42" s="305"/>
      <c r="M42" s="305"/>
      <c r="N42" s="434"/>
      <c r="O42" s="511"/>
      <c r="P42" s="295"/>
      <c r="Q42" s="295"/>
      <c r="R42" s="295"/>
      <c r="S42" s="437"/>
      <c r="T42" s="81" t="s">
        <v>102</v>
      </c>
      <c r="U42" s="263">
        <v>5.5555555555555552E-2</v>
      </c>
      <c r="V42" s="266">
        <v>0.5</v>
      </c>
      <c r="W42" s="263">
        <v>0</v>
      </c>
      <c r="X42" s="263"/>
      <c r="Y42" s="263"/>
      <c r="Z42" s="263">
        <f t="shared" si="3"/>
        <v>0.5</v>
      </c>
      <c r="AA42" s="91" t="s">
        <v>72</v>
      </c>
      <c r="AB42" s="81" t="s">
        <v>189</v>
      </c>
      <c r="AC42" s="81" t="s">
        <v>188</v>
      </c>
      <c r="AD42" s="303"/>
      <c r="AE42" s="343"/>
      <c r="AF42" s="305"/>
      <c r="AG42" s="305"/>
      <c r="AH42" s="308"/>
      <c r="AI42" s="331"/>
      <c r="AJ42" s="320"/>
      <c r="AK42" s="333"/>
      <c r="AL42" s="320"/>
      <c r="AM42" s="317"/>
      <c r="AN42" s="108" t="s">
        <v>178</v>
      </c>
      <c r="AO42" s="101" t="s">
        <v>179</v>
      </c>
      <c r="AP42" s="54"/>
    </row>
    <row r="43" spans="2:42" ht="89.25" x14ac:dyDescent="0.2">
      <c r="B43" s="382"/>
      <c r="C43" s="382"/>
      <c r="D43" s="303"/>
      <c r="E43" s="54"/>
      <c r="F43" s="54"/>
      <c r="G43" s="305"/>
      <c r="H43" s="303"/>
      <c r="I43" s="305"/>
      <c r="J43" s="305"/>
      <c r="K43" s="305"/>
      <c r="L43" s="305"/>
      <c r="M43" s="305"/>
      <c r="N43" s="434"/>
      <c r="O43" s="511"/>
      <c r="P43" s="295"/>
      <c r="Q43" s="295"/>
      <c r="R43" s="295"/>
      <c r="S43" s="437"/>
      <c r="T43" s="81" t="s">
        <v>103</v>
      </c>
      <c r="U43" s="263">
        <v>5.5555555555555552E-2</v>
      </c>
      <c r="V43" s="266">
        <v>0.5</v>
      </c>
      <c r="W43" s="263">
        <v>0</v>
      </c>
      <c r="X43" s="263"/>
      <c r="Y43" s="263"/>
      <c r="Z43" s="263">
        <f t="shared" si="3"/>
        <v>0.5</v>
      </c>
      <c r="AA43" s="91" t="s">
        <v>72</v>
      </c>
      <c r="AB43" s="81" t="s">
        <v>189</v>
      </c>
      <c r="AC43" s="81" t="s">
        <v>188</v>
      </c>
      <c r="AD43" s="303"/>
      <c r="AE43" s="343"/>
      <c r="AF43" s="305"/>
      <c r="AG43" s="305"/>
      <c r="AH43" s="308"/>
      <c r="AI43" s="331"/>
      <c r="AJ43" s="320"/>
      <c r="AK43" s="333"/>
      <c r="AL43" s="320"/>
      <c r="AM43" s="317"/>
      <c r="AN43" s="108" t="s">
        <v>178</v>
      </c>
      <c r="AO43" s="101" t="s">
        <v>179</v>
      </c>
      <c r="AP43" s="54"/>
    </row>
    <row r="44" spans="2:42" ht="89.25" x14ac:dyDescent="0.2">
      <c r="B44" s="382"/>
      <c r="C44" s="382"/>
      <c r="D44" s="303"/>
      <c r="E44" s="54"/>
      <c r="F44" s="54"/>
      <c r="G44" s="305"/>
      <c r="H44" s="303"/>
      <c r="I44" s="305"/>
      <c r="J44" s="305"/>
      <c r="K44" s="305"/>
      <c r="L44" s="305"/>
      <c r="M44" s="305"/>
      <c r="N44" s="434"/>
      <c r="O44" s="511"/>
      <c r="P44" s="295"/>
      <c r="Q44" s="295"/>
      <c r="R44" s="295"/>
      <c r="S44" s="437"/>
      <c r="T44" s="81" t="s">
        <v>104</v>
      </c>
      <c r="U44" s="263">
        <v>5.5555555555555552E-2</v>
      </c>
      <c r="V44" s="266">
        <v>0.5</v>
      </c>
      <c r="W44" s="263">
        <v>0</v>
      </c>
      <c r="X44" s="263"/>
      <c r="Y44" s="263"/>
      <c r="Z44" s="263">
        <f t="shared" si="3"/>
        <v>0.5</v>
      </c>
      <c r="AA44" s="91" t="s">
        <v>72</v>
      </c>
      <c r="AB44" s="81" t="s">
        <v>189</v>
      </c>
      <c r="AC44" s="81" t="s">
        <v>188</v>
      </c>
      <c r="AD44" s="303"/>
      <c r="AE44" s="343"/>
      <c r="AF44" s="305"/>
      <c r="AG44" s="305"/>
      <c r="AH44" s="308"/>
      <c r="AI44" s="331"/>
      <c r="AJ44" s="320"/>
      <c r="AK44" s="333"/>
      <c r="AL44" s="320"/>
      <c r="AM44" s="317"/>
      <c r="AN44" s="108" t="s">
        <v>178</v>
      </c>
      <c r="AO44" s="101" t="s">
        <v>179</v>
      </c>
      <c r="AP44" s="54"/>
    </row>
    <row r="45" spans="2:42" ht="89.25" x14ac:dyDescent="0.2">
      <c r="B45" s="382"/>
      <c r="C45" s="379"/>
      <c r="D45" s="303"/>
      <c r="E45" s="54"/>
      <c r="F45" s="54"/>
      <c r="G45" s="306"/>
      <c r="H45" s="300"/>
      <c r="I45" s="306"/>
      <c r="J45" s="306"/>
      <c r="K45" s="306"/>
      <c r="L45" s="306"/>
      <c r="M45" s="306"/>
      <c r="N45" s="435"/>
      <c r="O45" s="512"/>
      <c r="P45" s="296"/>
      <c r="Q45" s="296"/>
      <c r="R45" s="296"/>
      <c r="S45" s="438"/>
      <c r="T45" s="81" t="s">
        <v>105</v>
      </c>
      <c r="U45" s="263">
        <v>5.5555555555555552E-2</v>
      </c>
      <c r="V45" s="266">
        <v>0.5</v>
      </c>
      <c r="W45" s="263">
        <v>0</v>
      </c>
      <c r="X45" s="263"/>
      <c r="Y45" s="263"/>
      <c r="Z45" s="263">
        <f t="shared" si="3"/>
        <v>0.5</v>
      </c>
      <c r="AA45" s="91" t="s">
        <v>72</v>
      </c>
      <c r="AB45" s="81" t="s">
        <v>189</v>
      </c>
      <c r="AC45" s="81" t="s">
        <v>188</v>
      </c>
      <c r="AD45" s="303"/>
      <c r="AE45" s="343"/>
      <c r="AF45" s="306"/>
      <c r="AG45" s="306"/>
      <c r="AH45" s="330"/>
      <c r="AI45" s="328"/>
      <c r="AJ45" s="321"/>
      <c r="AK45" s="347"/>
      <c r="AL45" s="321"/>
      <c r="AM45" s="318"/>
      <c r="AN45" s="108" t="s">
        <v>178</v>
      </c>
      <c r="AO45" s="101" t="s">
        <v>179</v>
      </c>
      <c r="AP45" s="54"/>
    </row>
    <row r="46" spans="2:42" ht="39.75" customHeight="1" x14ac:dyDescent="0.2">
      <c r="B46" s="382"/>
      <c r="C46" s="378" t="s">
        <v>47</v>
      </c>
      <c r="D46" s="303"/>
      <c r="E46" s="54"/>
      <c r="F46" s="54"/>
      <c r="G46" s="304" t="s">
        <v>50</v>
      </c>
      <c r="H46" s="299">
        <v>0.15</v>
      </c>
      <c r="I46" s="304" t="s">
        <v>67</v>
      </c>
      <c r="J46" s="304">
        <v>3</v>
      </c>
      <c r="K46" s="304">
        <v>3</v>
      </c>
      <c r="L46" s="304" t="s">
        <v>68</v>
      </c>
      <c r="M46" s="304">
        <v>3</v>
      </c>
      <c r="N46" s="371">
        <f>(Z46*U46+Z52*U52+Z56*U56)*3</f>
        <v>0.67040999999999995</v>
      </c>
      <c r="O46" s="510">
        <f>S46*M46</f>
        <v>0.67040999999999995</v>
      </c>
      <c r="P46" s="289"/>
      <c r="Q46" s="289"/>
      <c r="R46" s="289"/>
      <c r="S46" s="311">
        <f>SUMPRODUCT(U46*Z46)+(U52*Z52)+(U56*Z56)</f>
        <v>0.22347</v>
      </c>
      <c r="T46" s="267" t="s">
        <v>106</v>
      </c>
      <c r="U46" s="268">
        <v>0.33</v>
      </c>
      <c r="V46" s="268">
        <f>+V47+V49</f>
        <v>0.36363636363636365</v>
      </c>
      <c r="W46" s="269">
        <f>+W47+W49</f>
        <v>0.159</v>
      </c>
      <c r="X46" s="269">
        <f>+X48+X50</f>
        <v>0</v>
      </c>
      <c r="Y46" s="269">
        <f>+Y48+Y50</f>
        <v>0</v>
      </c>
      <c r="Z46" s="268">
        <f t="shared" si="3"/>
        <v>0.52263636363636368</v>
      </c>
      <c r="AA46" s="53"/>
      <c r="AB46" s="82" t="s">
        <v>190</v>
      </c>
      <c r="AC46" s="82"/>
      <c r="AD46" s="303"/>
      <c r="AE46" s="343"/>
      <c r="AF46" s="87" t="s">
        <v>70</v>
      </c>
      <c r="AG46" s="87" t="s">
        <v>70</v>
      </c>
      <c r="AH46" s="87" t="s">
        <v>70</v>
      </c>
      <c r="AI46" s="113" t="s">
        <v>70</v>
      </c>
      <c r="AJ46" s="113" t="s">
        <v>70</v>
      </c>
      <c r="AK46" s="113" t="s">
        <v>70</v>
      </c>
      <c r="AL46" s="113" t="s">
        <v>70</v>
      </c>
      <c r="AM46" s="113" t="s">
        <v>70</v>
      </c>
      <c r="AN46" s="108" t="s">
        <v>178</v>
      </c>
      <c r="AO46" s="101" t="s">
        <v>179</v>
      </c>
      <c r="AP46" s="53"/>
    </row>
    <row r="47" spans="2:42" ht="39.75" customHeight="1" x14ac:dyDescent="0.2">
      <c r="B47" s="382"/>
      <c r="C47" s="382"/>
      <c r="D47" s="303"/>
      <c r="E47" s="91"/>
      <c r="F47" s="91"/>
      <c r="G47" s="305"/>
      <c r="H47" s="303"/>
      <c r="I47" s="305"/>
      <c r="J47" s="305"/>
      <c r="K47" s="305"/>
      <c r="L47" s="305"/>
      <c r="M47" s="305"/>
      <c r="N47" s="367"/>
      <c r="O47" s="511"/>
      <c r="P47" s="290"/>
      <c r="Q47" s="290"/>
      <c r="R47" s="290"/>
      <c r="S47" s="374"/>
      <c r="T47" s="466" t="s">
        <v>107</v>
      </c>
      <c r="U47" s="460">
        <v>0.5</v>
      </c>
      <c r="V47" s="460">
        <v>0.18181818181818182</v>
      </c>
      <c r="W47" s="460">
        <v>7.9500000000000001E-2</v>
      </c>
      <c r="X47" s="289"/>
      <c r="Y47" s="289"/>
      <c r="Z47" s="460">
        <f>+SUMPRODUCT(V48:Y48)</f>
        <v>0</v>
      </c>
      <c r="AA47" s="304" t="s">
        <v>72</v>
      </c>
      <c r="AB47" s="466" t="s">
        <v>195</v>
      </c>
      <c r="AC47" s="466" t="s">
        <v>188</v>
      </c>
      <c r="AD47" s="303"/>
      <c r="AE47" s="343"/>
      <c r="AF47" s="86" t="s">
        <v>832</v>
      </c>
      <c r="AG47" s="86" t="s">
        <v>163</v>
      </c>
      <c r="AH47" s="284">
        <v>0</v>
      </c>
      <c r="AI47" s="283">
        <v>45542500</v>
      </c>
      <c r="AJ47" s="113">
        <v>0</v>
      </c>
      <c r="AK47" s="106">
        <f>+AJ47/AI47</f>
        <v>0</v>
      </c>
      <c r="AL47" s="113">
        <v>0</v>
      </c>
      <c r="AM47" s="107">
        <f t="shared" si="1"/>
        <v>0</v>
      </c>
      <c r="AN47" s="108"/>
      <c r="AO47" s="101"/>
      <c r="AP47" s="53"/>
    </row>
    <row r="48" spans="2:42" ht="33" customHeight="1" x14ac:dyDescent="0.2">
      <c r="B48" s="382"/>
      <c r="C48" s="382"/>
      <c r="D48" s="303"/>
      <c r="E48" s="54"/>
      <c r="F48" s="54"/>
      <c r="G48" s="305"/>
      <c r="H48" s="303"/>
      <c r="I48" s="305"/>
      <c r="J48" s="305"/>
      <c r="K48" s="305"/>
      <c r="L48" s="305"/>
      <c r="M48" s="305"/>
      <c r="N48" s="367"/>
      <c r="O48" s="511"/>
      <c r="P48" s="290"/>
      <c r="Q48" s="290"/>
      <c r="R48" s="290"/>
      <c r="S48" s="374"/>
      <c r="T48" s="467"/>
      <c r="U48" s="461"/>
      <c r="V48" s="461"/>
      <c r="W48" s="461"/>
      <c r="X48" s="291"/>
      <c r="Y48" s="291"/>
      <c r="Z48" s="461"/>
      <c r="AA48" s="306"/>
      <c r="AB48" s="467"/>
      <c r="AC48" s="467"/>
      <c r="AD48" s="303"/>
      <c r="AE48" s="343"/>
      <c r="AF48" s="136" t="s">
        <v>167</v>
      </c>
      <c r="AG48" s="54" t="s">
        <v>159</v>
      </c>
      <c r="AH48" s="70">
        <v>57282500</v>
      </c>
      <c r="AI48" s="93">
        <v>57282500</v>
      </c>
      <c r="AJ48" s="93">
        <f>(2200000+1525000+1800000+1800000+2200000+762500)*5</f>
        <v>51437500</v>
      </c>
      <c r="AK48" s="106">
        <f t="shared" si="0"/>
        <v>0.89796185571509624</v>
      </c>
      <c r="AL48" s="93">
        <v>51437500</v>
      </c>
      <c r="AM48" s="107">
        <f t="shared" si="1"/>
        <v>0.89796185571509624</v>
      </c>
      <c r="AN48" s="108" t="s">
        <v>178</v>
      </c>
      <c r="AO48" s="101" t="s">
        <v>179</v>
      </c>
      <c r="AP48" s="54"/>
    </row>
    <row r="49" spans="2:42" ht="57" customHeight="1" x14ac:dyDescent="0.2">
      <c r="B49" s="382"/>
      <c r="C49" s="382"/>
      <c r="D49" s="303"/>
      <c r="E49" s="91"/>
      <c r="F49" s="91"/>
      <c r="G49" s="305"/>
      <c r="H49" s="303"/>
      <c r="I49" s="305"/>
      <c r="J49" s="305"/>
      <c r="K49" s="305"/>
      <c r="L49" s="305"/>
      <c r="M49" s="305"/>
      <c r="N49" s="367"/>
      <c r="O49" s="511"/>
      <c r="P49" s="290"/>
      <c r="Q49" s="290"/>
      <c r="R49" s="290"/>
      <c r="S49" s="374"/>
      <c r="T49" s="466" t="s">
        <v>108</v>
      </c>
      <c r="U49" s="460">
        <v>0.5</v>
      </c>
      <c r="V49" s="460">
        <v>0.18181818181818182</v>
      </c>
      <c r="W49" s="460">
        <v>7.9500000000000001E-2</v>
      </c>
      <c r="X49" s="460"/>
      <c r="Y49" s="460"/>
      <c r="Z49" s="460">
        <f>+SUMPRODUCT(V50:Y51)</f>
        <v>0</v>
      </c>
      <c r="AA49" s="304" t="s">
        <v>72</v>
      </c>
      <c r="AB49" s="466" t="s">
        <v>194</v>
      </c>
      <c r="AC49" s="466" t="s">
        <v>188</v>
      </c>
      <c r="AD49" s="303"/>
      <c r="AE49" s="343"/>
      <c r="AF49" s="86" t="s">
        <v>832</v>
      </c>
      <c r="AG49" s="278" t="s">
        <v>163</v>
      </c>
      <c r="AH49" s="280">
        <v>0</v>
      </c>
      <c r="AI49" s="279">
        <v>50000000</v>
      </c>
      <c r="AJ49" s="279">
        <v>0</v>
      </c>
      <c r="AK49" s="106">
        <f t="shared" si="0"/>
        <v>0</v>
      </c>
      <c r="AL49" s="279">
        <v>0</v>
      </c>
      <c r="AM49" s="107">
        <f t="shared" si="1"/>
        <v>0</v>
      </c>
      <c r="AN49" s="108"/>
      <c r="AO49" s="101"/>
      <c r="AP49" s="278"/>
    </row>
    <row r="50" spans="2:42" ht="16.149999999999999" customHeight="1" x14ac:dyDescent="0.2">
      <c r="B50" s="382"/>
      <c r="C50" s="382"/>
      <c r="D50" s="303"/>
      <c r="E50" s="54"/>
      <c r="F50" s="54"/>
      <c r="G50" s="305"/>
      <c r="H50" s="303"/>
      <c r="I50" s="305"/>
      <c r="J50" s="305"/>
      <c r="K50" s="305"/>
      <c r="L50" s="305"/>
      <c r="M50" s="305"/>
      <c r="N50" s="367"/>
      <c r="O50" s="511"/>
      <c r="P50" s="290"/>
      <c r="Q50" s="290"/>
      <c r="R50" s="290"/>
      <c r="S50" s="374"/>
      <c r="T50" s="468"/>
      <c r="U50" s="469"/>
      <c r="V50" s="469"/>
      <c r="W50" s="469"/>
      <c r="X50" s="469"/>
      <c r="Y50" s="469"/>
      <c r="Z50" s="469"/>
      <c r="AA50" s="305"/>
      <c r="AB50" s="468"/>
      <c r="AC50" s="468"/>
      <c r="AD50" s="303"/>
      <c r="AE50" s="343"/>
      <c r="AF50" s="324" t="s">
        <v>167</v>
      </c>
      <c r="AG50" s="304" t="s">
        <v>159</v>
      </c>
      <c r="AH50" s="325">
        <v>58012500</v>
      </c>
      <c r="AI50" s="327">
        <v>58012500</v>
      </c>
      <c r="AJ50" s="319">
        <f>(3570000+3570000+1525000+762500)*5</f>
        <v>47137500</v>
      </c>
      <c r="AK50" s="332">
        <f t="shared" si="0"/>
        <v>0.81254040077569489</v>
      </c>
      <c r="AL50" s="319">
        <v>47137500</v>
      </c>
      <c r="AM50" s="332">
        <f t="shared" si="1"/>
        <v>0.81254040077569489</v>
      </c>
      <c r="AN50" s="108" t="s">
        <v>178</v>
      </c>
      <c r="AO50" s="101" t="s">
        <v>179</v>
      </c>
      <c r="AP50" s="304"/>
    </row>
    <row r="51" spans="2:42" ht="14.25" customHeight="1" x14ac:dyDescent="0.2">
      <c r="B51" s="382"/>
      <c r="C51" s="382"/>
      <c r="D51" s="303"/>
      <c r="E51" s="54"/>
      <c r="F51" s="54"/>
      <c r="G51" s="305"/>
      <c r="H51" s="303"/>
      <c r="I51" s="305"/>
      <c r="J51" s="305"/>
      <c r="K51" s="305"/>
      <c r="L51" s="305"/>
      <c r="M51" s="305"/>
      <c r="N51" s="367"/>
      <c r="O51" s="511"/>
      <c r="P51" s="290"/>
      <c r="Q51" s="290"/>
      <c r="R51" s="290"/>
      <c r="S51" s="374"/>
      <c r="T51" s="467"/>
      <c r="U51" s="461"/>
      <c r="V51" s="461"/>
      <c r="W51" s="461"/>
      <c r="X51" s="461"/>
      <c r="Y51" s="461"/>
      <c r="Z51" s="461"/>
      <c r="AA51" s="306"/>
      <c r="AB51" s="467"/>
      <c r="AC51" s="467"/>
      <c r="AD51" s="303"/>
      <c r="AE51" s="343"/>
      <c r="AF51" s="306"/>
      <c r="AG51" s="306"/>
      <c r="AH51" s="326"/>
      <c r="AI51" s="328"/>
      <c r="AJ51" s="321"/>
      <c r="AK51" s="347"/>
      <c r="AL51" s="321"/>
      <c r="AM51" s="347"/>
      <c r="AN51" s="108" t="s">
        <v>178</v>
      </c>
      <c r="AO51" s="101" t="s">
        <v>179</v>
      </c>
      <c r="AP51" s="306"/>
    </row>
    <row r="52" spans="2:42" ht="59.25" customHeight="1" x14ac:dyDescent="0.2">
      <c r="B52" s="382"/>
      <c r="C52" s="382"/>
      <c r="D52" s="303"/>
      <c r="E52" s="54"/>
      <c r="F52" s="54"/>
      <c r="G52" s="305"/>
      <c r="H52" s="303"/>
      <c r="I52" s="305"/>
      <c r="J52" s="305"/>
      <c r="K52" s="305"/>
      <c r="L52" s="305"/>
      <c r="M52" s="305"/>
      <c r="N52" s="367"/>
      <c r="O52" s="511"/>
      <c r="P52" s="290"/>
      <c r="Q52" s="290"/>
      <c r="R52" s="290"/>
      <c r="S52" s="374"/>
      <c r="T52" s="82" t="s">
        <v>109</v>
      </c>
      <c r="U52" s="268">
        <v>0.33</v>
      </c>
      <c r="V52" s="268">
        <f>+V53+V54+V55</f>
        <v>0</v>
      </c>
      <c r="W52" s="268">
        <f>+W53+W54+W55</f>
        <v>0</v>
      </c>
      <c r="X52" s="268">
        <f>+X53+X54+X55</f>
        <v>0</v>
      </c>
      <c r="Y52" s="268">
        <f>+Y53+Y54+Y55</f>
        <v>0</v>
      </c>
      <c r="Z52" s="268">
        <f t="shared" ref="Z52:Z73" si="4">SUM(V52:Y52)</f>
        <v>0</v>
      </c>
      <c r="AA52" s="53"/>
      <c r="AB52" s="151" t="s">
        <v>191</v>
      </c>
      <c r="AC52" s="82"/>
      <c r="AD52" s="303"/>
      <c r="AE52" s="343"/>
      <c r="AF52" s="53" t="s">
        <v>70</v>
      </c>
      <c r="AG52" s="53" t="s">
        <v>70</v>
      </c>
      <c r="AH52" s="53" t="s">
        <v>70</v>
      </c>
      <c r="AI52" s="114" t="s">
        <v>70</v>
      </c>
      <c r="AJ52" s="114" t="s">
        <v>70</v>
      </c>
      <c r="AK52" s="114" t="s">
        <v>70</v>
      </c>
      <c r="AL52" s="114" t="s">
        <v>70</v>
      </c>
      <c r="AM52" s="114" t="s">
        <v>70</v>
      </c>
      <c r="AN52" s="108" t="s">
        <v>178</v>
      </c>
      <c r="AO52" s="101" t="s">
        <v>179</v>
      </c>
      <c r="AP52" s="53"/>
    </row>
    <row r="53" spans="2:42" ht="38.25" x14ac:dyDescent="0.2">
      <c r="B53" s="382"/>
      <c r="C53" s="382"/>
      <c r="D53" s="303"/>
      <c r="E53" s="54"/>
      <c r="F53" s="54"/>
      <c r="G53" s="305"/>
      <c r="H53" s="303"/>
      <c r="I53" s="305"/>
      <c r="J53" s="305"/>
      <c r="K53" s="305"/>
      <c r="L53" s="305"/>
      <c r="M53" s="305"/>
      <c r="N53" s="367"/>
      <c r="O53" s="511"/>
      <c r="P53" s="290"/>
      <c r="Q53" s="290"/>
      <c r="R53" s="290"/>
      <c r="S53" s="374"/>
      <c r="T53" s="81" t="s">
        <v>110</v>
      </c>
      <c r="U53" s="263">
        <v>0.25</v>
      </c>
      <c r="V53" s="263">
        <v>0</v>
      </c>
      <c r="W53" s="56">
        <v>0</v>
      </c>
      <c r="X53" s="56"/>
      <c r="Y53" s="56"/>
      <c r="Z53" s="263">
        <f t="shared" si="4"/>
        <v>0</v>
      </c>
      <c r="AA53" s="91" t="s">
        <v>83</v>
      </c>
      <c r="AB53" s="81"/>
      <c r="AC53" s="81"/>
      <c r="AD53" s="303"/>
      <c r="AE53" s="343"/>
      <c r="AF53" s="137" t="s">
        <v>166</v>
      </c>
      <c r="AG53" s="54" t="s">
        <v>163</v>
      </c>
      <c r="AH53" s="70">
        <v>0</v>
      </c>
      <c r="AI53" s="93">
        <v>21000000</v>
      </c>
      <c r="AJ53" s="93">
        <v>21000000</v>
      </c>
      <c r="AK53" s="106">
        <f t="shared" si="0"/>
        <v>1</v>
      </c>
      <c r="AL53" s="93">
        <v>21000000</v>
      </c>
      <c r="AM53" s="107">
        <f t="shared" si="1"/>
        <v>1</v>
      </c>
      <c r="AN53" s="108" t="s">
        <v>178</v>
      </c>
      <c r="AO53" s="101" t="s">
        <v>179</v>
      </c>
      <c r="AP53" s="54"/>
    </row>
    <row r="54" spans="2:42" ht="30" x14ac:dyDescent="0.2">
      <c r="B54" s="382"/>
      <c r="C54" s="382"/>
      <c r="D54" s="303"/>
      <c r="E54" s="54"/>
      <c r="F54" s="54"/>
      <c r="G54" s="305"/>
      <c r="H54" s="303"/>
      <c r="I54" s="305"/>
      <c r="J54" s="305"/>
      <c r="K54" s="305"/>
      <c r="L54" s="305"/>
      <c r="M54" s="305"/>
      <c r="N54" s="367"/>
      <c r="O54" s="511"/>
      <c r="P54" s="290"/>
      <c r="Q54" s="290"/>
      <c r="R54" s="290"/>
      <c r="S54" s="374"/>
      <c r="T54" s="81" t="s">
        <v>192</v>
      </c>
      <c r="U54" s="263">
        <v>0.15</v>
      </c>
      <c r="V54" s="263">
        <v>0</v>
      </c>
      <c r="W54" s="56">
        <v>0</v>
      </c>
      <c r="X54" s="56"/>
      <c r="Y54" s="56"/>
      <c r="Z54" s="263">
        <f t="shared" si="4"/>
        <v>0</v>
      </c>
      <c r="AA54" s="91" t="s">
        <v>184</v>
      </c>
      <c r="AB54" s="81"/>
      <c r="AC54" s="81"/>
      <c r="AD54" s="303"/>
      <c r="AE54" s="343"/>
      <c r="AF54" s="54" t="s">
        <v>70</v>
      </c>
      <c r="AG54" s="91" t="s">
        <v>70</v>
      </c>
      <c r="AH54" s="91" t="s">
        <v>70</v>
      </c>
      <c r="AI54" s="112" t="s">
        <v>70</v>
      </c>
      <c r="AJ54" s="112" t="s">
        <v>70</v>
      </c>
      <c r="AK54" s="112" t="s">
        <v>70</v>
      </c>
      <c r="AL54" s="112" t="s">
        <v>70</v>
      </c>
      <c r="AM54" s="112" t="s">
        <v>70</v>
      </c>
      <c r="AN54" s="108" t="s">
        <v>178</v>
      </c>
      <c r="AO54" s="101" t="s">
        <v>179</v>
      </c>
      <c r="AP54" s="54"/>
    </row>
    <row r="55" spans="2:42" ht="38.25" x14ac:dyDescent="0.2">
      <c r="B55" s="382"/>
      <c r="C55" s="382"/>
      <c r="D55" s="303"/>
      <c r="E55" s="54"/>
      <c r="F55" s="54"/>
      <c r="G55" s="305"/>
      <c r="H55" s="303"/>
      <c r="I55" s="305"/>
      <c r="J55" s="305"/>
      <c r="K55" s="305"/>
      <c r="L55" s="305"/>
      <c r="M55" s="305"/>
      <c r="N55" s="367"/>
      <c r="O55" s="511"/>
      <c r="P55" s="290"/>
      <c r="Q55" s="290"/>
      <c r="R55" s="290"/>
      <c r="S55" s="374"/>
      <c r="T55" s="81" t="s">
        <v>193</v>
      </c>
      <c r="U55" s="263">
        <v>0.6</v>
      </c>
      <c r="V55" s="263">
        <v>0</v>
      </c>
      <c r="W55" s="56">
        <v>0</v>
      </c>
      <c r="X55" s="56"/>
      <c r="Y55" s="56"/>
      <c r="Z55" s="263">
        <f t="shared" si="4"/>
        <v>0</v>
      </c>
      <c r="AA55" s="91" t="s">
        <v>184</v>
      </c>
      <c r="AB55" s="81"/>
      <c r="AC55" s="81"/>
      <c r="AD55" s="303"/>
      <c r="AE55" s="343"/>
      <c r="AF55" s="137" t="s">
        <v>166</v>
      </c>
      <c r="AG55" s="54" t="s">
        <v>163</v>
      </c>
      <c r="AH55" s="70">
        <v>0</v>
      </c>
      <c r="AI55" s="93">
        <v>60542500</v>
      </c>
      <c r="AJ55" s="93">
        <v>60542500</v>
      </c>
      <c r="AK55" s="106">
        <f t="shared" si="0"/>
        <v>1</v>
      </c>
      <c r="AL55" s="93">
        <v>60542500</v>
      </c>
      <c r="AM55" s="107">
        <f t="shared" si="1"/>
        <v>1</v>
      </c>
      <c r="AN55" s="108" t="s">
        <v>178</v>
      </c>
      <c r="AO55" s="101" t="s">
        <v>179</v>
      </c>
      <c r="AP55" s="54"/>
    </row>
    <row r="56" spans="2:42" ht="55.5" customHeight="1" x14ac:dyDescent="0.2">
      <c r="B56" s="382"/>
      <c r="C56" s="382"/>
      <c r="D56" s="303"/>
      <c r="E56" s="54"/>
      <c r="F56" s="54"/>
      <c r="G56" s="305"/>
      <c r="H56" s="303"/>
      <c r="I56" s="305"/>
      <c r="J56" s="305"/>
      <c r="K56" s="305"/>
      <c r="L56" s="305"/>
      <c r="M56" s="305"/>
      <c r="N56" s="367"/>
      <c r="O56" s="511"/>
      <c r="P56" s="290"/>
      <c r="Q56" s="290"/>
      <c r="R56" s="290"/>
      <c r="S56" s="374"/>
      <c r="T56" s="267" t="s">
        <v>112</v>
      </c>
      <c r="U56" s="268">
        <v>0.34</v>
      </c>
      <c r="V56" s="268">
        <f>+V57+V58+V59+V60</f>
        <v>0</v>
      </c>
      <c r="W56" s="268">
        <f>+W57+W58+W59+W60</f>
        <v>0.15</v>
      </c>
      <c r="X56" s="268">
        <f>+X57+X58+X59+X60</f>
        <v>0</v>
      </c>
      <c r="Y56" s="268">
        <f>+Y57+Y58+Y59+Y60</f>
        <v>0</v>
      </c>
      <c r="Z56" s="268">
        <f t="shared" si="4"/>
        <v>0.15</v>
      </c>
      <c r="AA56" s="53"/>
      <c r="AB56" s="82"/>
      <c r="AC56" s="82"/>
      <c r="AD56" s="303"/>
      <c r="AE56" s="343"/>
      <c r="AF56" s="53" t="s">
        <v>70</v>
      </c>
      <c r="AG56" s="53" t="s">
        <v>70</v>
      </c>
      <c r="AH56" s="53" t="s">
        <v>70</v>
      </c>
      <c r="AI56" s="114" t="s">
        <v>70</v>
      </c>
      <c r="AJ56" s="114" t="s">
        <v>70</v>
      </c>
      <c r="AK56" s="114" t="s">
        <v>70</v>
      </c>
      <c r="AL56" s="114" t="s">
        <v>70</v>
      </c>
      <c r="AM56" s="114" t="s">
        <v>70</v>
      </c>
      <c r="AN56" s="108" t="s">
        <v>178</v>
      </c>
      <c r="AO56" s="101" t="s">
        <v>179</v>
      </c>
      <c r="AP56" s="53"/>
    </row>
    <row r="57" spans="2:42" ht="40.5" customHeight="1" x14ac:dyDescent="0.2">
      <c r="B57" s="382"/>
      <c r="C57" s="382"/>
      <c r="D57" s="303"/>
      <c r="E57" s="54"/>
      <c r="F57" s="54"/>
      <c r="G57" s="305"/>
      <c r="H57" s="303"/>
      <c r="I57" s="305"/>
      <c r="J57" s="305"/>
      <c r="K57" s="305"/>
      <c r="L57" s="305"/>
      <c r="M57" s="305"/>
      <c r="N57" s="367"/>
      <c r="O57" s="511"/>
      <c r="P57" s="290"/>
      <c r="Q57" s="290"/>
      <c r="R57" s="290"/>
      <c r="S57" s="374"/>
      <c r="T57" s="81" t="s">
        <v>113</v>
      </c>
      <c r="U57" s="263">
        <v>0.35</v>
      </c>
      <c r="V57" s="263">
        <v>0</v>
      </c>
      <c r="W57" s="263">
        <v>0</v>
      </c>
      <c r="X57" s="263"/>
      <c r="Y57" s="263"/>
      <c r="Z57" s="263">
        <f t="shared" si="4"/>
        <v>0</v>
      </c>
      <c r="AA57" s="91" t="s">
        <v>114</v>
      </c>
      <c r="AB57" s="81"/>
      <c r="AC57" s="81"/>
      <c r="AD57" s="303"/>
      <c r="AE57" s="343"/>
      <c r="AF57" s="86" t="s">
        <v>180</v>
      </c>
      <c r="AG57" s="54" t="s">
        <v>181</v>
      </c>
      <c r="AH57" s="160">
        <v>39000000</v>
      </c>
      <c r="AI57" s="93">
        <v>39000000</v>
      </c>
      <c r="AJ57" s="93">
        <v>0</v>
      </c>
      <c r="AK57" s="106">
        <f t="shared" si="0"/>
        <v>0</v>
      </c>
      <c r="AL57" s="93"/>
      <c r="AM57" s="107">
        <f t="shared" si="1"/>
        <v>0</v>
      </c>
      <c r="AN57" s="108" t="s">
        <v>178</v>
      </c>
      <c r="AO57" s="101" t="s">
        <v>179</v>
      </c>
      <c r="AP57" s="54"/>
    </row>
    <row r="58" spans="2:42" ht="38.25" x14ac:dyDescent="0.2">
      <c r="B58" s="382"/>
      <c r="C58" s="382"/>
      <c r="D58" s="303"/>
      <c r="E58" s="54"/>
      <c r="F58" s="54"/>
      <c r="G58" s="305"/>
      <c r="H58" s="303"/>
      <c r="I58" s="305"/>
      <c r="J58" s="305"/>
      <c r="K58" s="305"/>
      <c r="L58" s="305"/>
      <c r="M58" s="305"/>
      <c r="N58" s="367"/>
      <c r="O58" s="511"/>
      <c r="P58" s="290"/>
      <c r="Q58" s="290"/>
      <c r="R58" s="290"/>
      <c r="S58" s="374"/>
      <c r="T58" s="81" t="s">
        <v>187</v>
      </c>
      <c r="U58" s="263">
        <v>0.3</v>
      </c>
      <c r="V58" s="263">
        <v>0</v>
      </c>
      <c r="W58" s="263">
        <v>0</v>
      </c>
      <c r="X58" s="263"/>
      <c r="Y58" s="263"/>
      <c r="Z58" s="263">
        <f t="shared" si="4"/>
        <v>0</v>
      </c>
      <c r="AA58" s="91" t="s">
        <v>72</v>
      </c>
      <c r="AB58" s="81"/>
      <c r="AC58" s="81"/>
      <c r="AD58" s="303"/>
      <c r="AE58" s="343"/>
      <c r="AF58" s="137" t="s">
        <v>166</v>
      </c>
      <c r="AG58" s="54" t="s">
        <v>163</v>
      </c>
      <c r="AH58" s="70">
        <v>0</v>
      </c>
      <c r="AI58" s="93">
        <f>15250000*2</f>
        <v>30500000</v>
      </c>
      <c r="AJ58" s="93">
        <v>30500000</v>
      </c>
      <c r="AK58" s="106">
        <f t="shared" si="0"/>
        <v>1</v>
      </c>
      <c r="AL58" s="93">
        <v>30500000</v>
      </c>
      <c r="AM58" s="107">
        <f t="shared" si="1"/>
        <v>1</v>
      </c>
      <c r="AN58" s="108" t="s">
        <v>178</v>
      </c>
      <c r="AO58" s="101" t="s">
        <v>179</v>
      </c>
      <c r="AP58" s="54"/>
    </row>
    <row r="59" spans="2:42" ht="38.25" x14ac:dyDescent="0.2">
      <c r="B59" s="382"/>
      <c r="C59" s="382"/>
      <c r="D59" s="303"/>
      <c r="E59" s="54"/>
      <c r="F59" s="54"/>
      <c r="G59" s="305"/>
      <c r="H59" s="303"/>
      <c r="I59" s="305"/>
      <c r="J59" s="305"/>
      <c r="K59" s="305"/>
      <c r="L59" s="305"/>
      <c r="M59" s="305"/>
      <c r="N59" s="367"/>
      <c r="O59" s="511"/>
      <c r="P59" s="290"/>
      <c r="Q59" s="290"/>
      <c r="R59" s="290"/>
      <c r="S59" s="374"/>
      <c r="T59" s="81" t="s">
        <v>196</v>
      </c>
      <c r="U59" s="263">
        <v>0.2</v>
      </c>
      <c r="V59" s="263">
        <v>0</v>
      </c>
      <c r="W59" s="263">
        <v>0</v>
      </c>
      <c r="X59" s="263"/>
      <c r="Y59" s="263"/>
      <c r="Z59" s="263">
        <f t="shared" si="4"/>
        <v>0</v>
      </c>
      <c r="AA59" s="91" t="s">
        <v>72</v>
      </c>
      <c r="AB59" s="81"/>
      <c r="AC59" s="81"/>
      <c r="AD59" s="303"/>
      <c r="AE59" s="343"/>
      <c r="AF59" s="137" t="s">
        <v>166</v>
      </c>
      <c r="AG59" s="54" t="s">
        <v>163</v>
      </c>
      <c r="AH59" s="70">
        <v>0</v>
      </c>
      <c r="AI59" s="93">
        <v>8000000</v>
      </c>
      <c r="AJ59" s="93">
        <v>8000000</v>
      </c>
      <c r="AK59" s="106">
        <f t="shared" si="0"/>
        <v>1</v>
      </c>
      <c r="AL59" s="93">
        <v>8000000</v>
      </c>
      <c r="AM59" s="107">
        <f t="shared" si="1"/>
        <v>1</v>
      </c>
      <c r="AN59" s="108" t="s">
        <v>178</v>
      </c>
      <c r="AO59" s="101" t="s">
        <v>179</v>
      </c>
      <c r="AP59" s="54"/>
    </row>
    <row r="60" spans="2:42" ht="140.25" x14ac:dyDescent="0.2">
      <c r="B60" s="382"/>
      <c r="C60" s="379"/>
      <c r="D60" s="300"/>
      <c r="E60" s="54"/>
      <c r="F60" s="54"/>
      <c r="G60" s="306"/>
      <c r="H60" s="300"/>
      <c r="I60" s="306"/>
      <c r="J60" s="306"/>
      <c r="K60" s="306"/>
      <c r="L60" s="306"/>
      <c r="M60" s="306"/>
      <c r="N60" s="368"/>
      <c r="O60" s="512"/>
      <c r="P60" s="291"/>
      <c r="Q60" s="291"/>
      <c r="R60" s="291"/>
      <c r="S60" s="312"/>
      <c r="T60" s="81" t="s">
        <v>197</v>
      </c>
      <c r="U60" s="263">
        <v>0.15</v>
      </c>
      <c r="V60" s="263">
        <v>0</v>
      </c>
      <c r="W60" s="263">
        <v>0.15</v>
      </c>
      <c r="X60" s="263"/>
      <c r="Y60" s="263"/>
      <c r="Z60" s="263">
        <f t="shared" si="4"/>
        <v>0.15</v>
      </c>
      <c r="AA60" s="91" t="s">
        <v>72</v>
      </c>
      <c r="AB60" s="81" t="s">
        <v>808</v>
      </c>
      <c r="AC60" s="81" t="s">
        <v>810</v>
      </c>
      <c r="AD60" s="300"/>
      <c r="AE60" s="345"/>
      <c r="AF60" s="137" t="s">
        <v>166</v>
      </c>
      <c r="AG60" s="54" t="s">
        <v>163</v>
      </c>
      <c r="AH60" s="70">
        <v>0</v>
      </c>
      <c r="AI60" s="93">
        <v>6000000</v>
      </c>
      <c r="AJ60" s="93">
        <v>6000000</v>
      </c>
      <c r="AK60" s="106">
        <f t="shared" si="0"/>
        <v>1</v>
      </c>
      <c r="AL60" s="93">
        <v>6000000</v>
      </c>
      <c r="AM60" s="107">
        <f t="shared" si="1"/>
        <v>1</v>
      </c>
      <c r="AN60" s="108" t="s">
        <v>178</v>
      </c>
      <c r="AO60" s="101" t="s">
        <v>179</v>
      </c>
      <c r="AP60" s="54"/>
    </row>
    <row r="61" spans="2:42" ht="51" x14ac:dyDescent="0.2">
      <c r="B61" s="382"/>
      <c r="C61" s="53" t="s">
        <v>51</v>
      </c>
      <c r="D61" s="299">
        <v>0.3</v>
      </c>
      <c r="E61" s="54"/>
      <c r="F61" s="54"/>
      <c r="G61" s="54" t="s">
        <v>52</v>
      </c>
      <c r="H61" s="56">
        <v>0.1</v>
      </c>
      <c r="I61" s="54" t="s">
        <v>67</v>
      </c>
      <c r="J61" s="54">
        <v>4</v>
      </c>
      <c r="K61" s="54">
        <v>3</v>
      </c>
      <c r="L61" s="54" t="s">
        <v>69</v>
      </c>
      <c r="M61" s="54">
        <v>1</v>
      </c>
      <c r="N61" s="170">
        <f>SUMPRODUCT(U61*Z61)</f>
        <v>0</v>
      </c>
      <c r="O61" s="516">
        <f>SUMPRODUCT(U61*W61)</f>
        <v>0</v>
      </c>
      <c r="P61" s="265"/>
      <c r="Q61" s="265"/>
      <c r="R61" s="265"/>
      <c r="S61" s="265">
        <f>SUMPRODUCT(U61*Z61)</f>
        <v>0</v>
      </c>
      <c r="T61" s="81" t="s">
        <v>115</v>
      </c>
      <c r="U61" s="263">
        <v>1</v>
      </c>
      <c r="V61" s="263">
        <v>0</v>
      </c>
      <c r="W61" s="263">
        <v>0</v>
      </c>
      <c r="X61" s="263"/>
      <c r="Y61" s="263"/>
      <c r="Z61" s="263">
        <f t="shared" si="4"/>
        <v>0</v>
      </c>
      <c r="AA61" s="91" t="s">
        <v>185</v>
      </c>
      <c r="AB61" s="81"/>
      <c r="AC61" s="81"/>
      <c r="AD61" s="299" t="s">
        <v>153</v>
      </c>
      <c r="AE61" s="344" t="s">
        <v>202</v>
      </c>
      <c r="AF61" s="138" t="s">
        <v>168</v>
      </c>
      <c r="AG61" s="86" t="s">
        <v>161</v>
      </c>
      <c r="AH61" s="70">
        <v>45000000</v>
      </c>
      <c r="AI61" s="93">
        <v>45000000</v>
      </c>
      <c r="AJ61" s="93">
        <v>2000000</v>
      </c>
      <c r="AK61" s="106">
        <f t="shared" si="0"/>
        <v>4.4444444444444446E-2</v>
      </c>
      <c r="AL61" s="93">
        <v>2000000</v>
      </c>
      <c r="AM61" s="107">
        <f t="shared" si="1"/>
        <v>4.4444444444444446E-2</v>
      </c>
      <c r="AN61" s="108" t="s">
        <v>178</v>
      </c>
      <c r="AO61" s="101" t="s">
        <v>179</v>
      </c>
      <c r="AP61" s="54"/>
    </row>
    <row r="62" spans="2:42" ht="51" x14ac:dyDescent="0.2">
      <c r="B62" s="382"/>
      <c r="C62" s="53" t="s">
        <v>51</v>
      </c>
      <c r="D62" s="303"/>
      <c r="E62" s="54"/>
      <c r="F62" s="54"/>
      <c r="G62" s="54" t="s">
        <v>53</v>
      </c>
      <c r="H62" s="56">
        <v>0.1</v>
      </c>
      <c r="I62" s="54" t="s">
        <v>67</v>
      </c>
      <c r="J62" s="54">
        <v>4</v>
      </c>
      <c r="K62" s="54">
        <v>3</v>
      </c>
      <c r="L62" s="54" t="s">
        <v>69</v>
      </c>
      <c r="M62" s="54">
        <v>1</v>
      </c>
      <c r="N62" s="170">
        <f>SUMPRODUCT(U62*Z62)</f>
        <v>0</v>
      </c>
      <c r="O62" s="516">
        <f>SUMPRODUCT(U62*W62)</f>
        <v>0</v>
      </c>
      <c r="P62" s="265"/>
      <c r="Q62" s="265"/>
      <c r="R62" s="265"/>
      <c r="S62" s="265">
        <f>SUMPRODUCT(U62*Z62)</f>
        <v>0</v>
      </c>
      <c r="T62" s="81" t="s">
        <v>116</v>
      </c>
      <c r="U62" s="263">
        <v>1</v>
      </c>
      <c r="V62" s="263">
        <v>0</v>
      </c>
      <c r="W62" s="263">
        <v>0</v>
      </c>
      <c r="X62" s="263"/>
      <c r="Y62" s="263"/>
      <c r="Z62" s="263">
        <f t="shared" si="4"/>
        <v>0</v>
      </c>
      <c r="AA62" s="91" t="s">
        <v>117</v>
      </c>
      <c r="AB62" s="81"/>
      <c r="AC62" s="81"/>
      <c r="AD62" s="303"/>
      <c r="AE62" s="343"/>
      <c r="AF62" s="86" t="s">
        <v>169</v>
      </c>
      <c r="AG62" s="54" t="s">
        <v>170</v>
      </c>
      <c r="AH62" s="70">
        <f>278252000</f>
        <v>278252000</v>
      </c>
      <c r="AI62" s="93">
        <f>278252000+9497617</f>
        <v>287749617</v>
      </c>
      <c r="AJ62" s="93">
        <v>0</v>
      </c>
      <c r="AK62" s="106">
        <f t="shared" si="0"/>
        <v>0</v>
      </c>
      <c r="AL62" s="93"/>
      <c r="AM62" s="107">
        <f t="shared" si="1"/>
        <v>0</v>
      </c>
      <c r="AN62" s="108" t="s">
        <v>178</v>
      </c>
      <c r="AO62" s="101" t="s">
        <v>179</v>
      </c>
      <c r="AP62" s="54"/>
    </row>
    <row r="63" spans="2:42" ht="51" x14ac:dyDescent="0.2">
      <c r="B63" s="382"/>
      <c r="C63" s="53" t="s">
        <v>51</v>
      </c>
      <c r="D63" s="303"/>
      <c r="E63" s="54"/>
      <c r="F63" s="54"/>
      <c r="G63" s="54" t="s">
        <v>54</v>
      </c>
      <c r="H63" s="56">
        <v>0.1</v>
      </c>
      <c r="I63" s="54" t="s">
        <v>67</v>
      </c>
      <c r="J63" s="54">
        <v>2</v>
      </c>
      <c r="K63" s="54">
        <v>4</v>
      </c>
      <c r="L63" s="54" t="s">
        <v>69</v>
      </c>
      <c r="M63" s="54">
        <v>1</v>
      </c>
      <c r="N63" s="170">
        <f>SUMPRODUCT(U63*Z63)</f>
        <v>0</v>
      </c>
      <c r="O63" s="516">
        <f>SUMPRODUCT(U63*W63)</f>
        <v>0</v>
      </c>
      <c r="P63" s="265"/>
      <c r="Q63" s="265"/>
      <c r="R63" s="265"/>
      <c r="S63" s="265">
        <f>SUMPRODUCT(U63*Z63)</f>
        <v>0</v>
      </c>
      <c r="T63" s="81" t="s">
        <v>118</v>
      </c>
      <c r="U63" s="263">
        <v>1</v>
      </c>
      <c r="V63" s="263">
        <v>0</v>
      </c>
      <c r="W63" s="263">
        <v>0</v>
      </c>
      <c r="X63" s="263"/>
      <c r="Y63" s="263"/>
      <c r="Z63" s="263">
        <f t="shared" si="4"/>
        <v>0</v>
      </c>
      <c r="AA63" s="91" t="s">
        <v>83</v>
      </c>
      <c r="AB63" s="81"/>
      <c r="AC63" s="81"/>
      <c r="AD63" s="303"/>
      <c r="AE63" s="343"/>
      <c r="AF63" s="138" t="s">
        <v>168</v>
      </c>
      <c r="AG63" s="86" t="s">
        <v>161</v>
      </c>
      <c r="AH63" s="70">
        <v>49000000</v>
      </c>
      <c r="AI63" s="93">
        <f>49000000-8000000-4000000</f>
        <v>37000000</v>
      </c>
      <c r="AJ63" s="93">
        <v>0</v>
      </c>
      <c r="AK63" s="106">
        <f t="shared" si="0"/>
        <v>0</v>
      </c>
      <c r="AL63" s="93"/>
      <c r="AM63" s="107">
        <f t="shared" si="1"/>
        <v>0</v>
      </c>
      <c r="AN63" s="108" t="s">
        <v>178</v>
      </c>
      <c r="AO63" s="101" t="s">
        <v>179</v>
      </c>
      <c r="AP63" s="54"/>
    </row>
    <row r="64" spans="2:42" ht="51" x14ac:dyDescent="0.2">
      <c r="B64" s="382"/>
      <c r="C64" s="53" t="s">
        <v>51</v>
      </c>
      <c r="D64" s="303"/>
      <c r="E64" s="54"/>
      <c r="F64" s="54"/>
      <c r="G64" s="54" t="s">
        <v>55</v>
      </c>
      <c r="H64" s="56">
        <v>0.05</v>
      </c>
      <c r="I64" s="54" t="s">
        <v>67</v>
      </c>
      <c r="J64" s="54">
        <v>0</v>
      </c>
      <c r="K64" s="54">
        <v>2</v>
      </c>
      <c r="L64" s="54" t="s">
        <v>69</v>
      </c>
      <c r="M64" s="54">
        <v>1</v>
      </c>
      <c r="N64" s="170">
        <f>SUMPRODUCT(U64*Z64)</f>
        <v>0</v>
      </c>
      <c r="O64" s="516">
        <f>SUMPRODUCT(U64*W64)</f>
        <v>0</v>
      </c>
      <c r="P64" s="265"/>
      <c r="Q64" s="265"/>
      <c r="R64" s="265"/>
      <c r="S64" s="265">
        <f>SUMPRODUCT(U64*Z64)</f>
        <v>0</v>
      </c>
      <c r="T64" s="81" t="s">
        <v>119</v>
      </c>
      <c r="U64" s="263">
        <v>1</v>
      </c>
      <c r="V64" s="263">
        <v>0</v>
      </c>
      <c r="W64" s="263">
        <v>0</v>
      </c>
      <c r="X64" s="263"/>
      <c r="Y64" s="263"/>
      <c r="Z64" s="263">
        <f t="shared" si="4"/>
        <v>0</v>
      </c>
      <c r="AA64" s="91" t="s">
        <v>111</v>
      </c>
      <c r="AB64" s="81"/>
      <c r="AC64" s="81"/>
      <c r="AD64" s="303"/>
      <c r="AE64" s="343"/>
      <c r="AF64" s="138" t="s">
        <v>168</v>
      </c>
      <c r="AG64" s="86" t="s">
        <v>161</v>
      </c>
      <c r="AH64" s="70">
        <v>20000000</v>
      </c>
      <c r="AI64" s="93">
        <v>20000000</v>
      </c>
      <c r="AJ64" s="93">
        <v>20000000</v>
      </c>
      <c r="AK64" s="106">
        <f t="shared" si="0"/>
        <v>1</v>
      </c>
      <c r="AL64" s="93">
        <v>20000000</v>
      </c>
      <c r="AM64" s="107">
        <f t="shared" si="1"/>
        <v>1</v>
      </c>
      <c r="AN64" s="108" t="s">
        <v>178</v>
      </c>
      <c r="AO64" s="101" t="s">
        <v>179</v>
      </c>
      <c r="AP64" s="54"/>
    </row>
    <row r="65" spans="2:42" ht="51" x14ac:dyDescent="0.2">
      <c r="B65" s="382"/>
      <c r="C65" s="53" t="s">
        <v>51</v>
      </c>
      <c r="D65" s="303"/>
      <c r="E65" s="54"/>
      <c r="F65" s="54"/>
      <c r="G65" s="262" t="s">
        <v>56</v>
      </c>
      <c r="H65" s="56">
        <v>0.05</v>
      </c>
      <c r="I65" s="54" t="s">
        <v>67</v>
      </c>
      <c r="J65" s="54">
        <v>0</v>
      </c>
      <c r="K65" s="54">
        <v>4</v>
      </c>
      <c r="L65" s="54" t="s">
        <v>69</v>
      </c>
      <c r="M65" s="54">
        <v>1</v>
      </c>
      <c r="N65" s="170">
        <f>SUMPRODUCT(U65*Z65)</f>
        <v>0</v>
      </c>
      <c r="O65" s="516">
        <f>SUMPRODUCT(U65*W65)</f>
        <v>0</v>
      </c>
      <c r="P65" s="265"/>
      <c r="Q65" s="265"/>
      <c r="R65" s="265"/>
      <c r="S65" s="265">
        <f>SUMPRODUCT(U65*Z65)</f>
        <v>0</v>
      </c>
      <c r="T65" s="81" t="s">
        <v>121</v>
      </c>
      <c r="U65" s="263">
        <v>1</v>
      </c>
      <c r="V65" s="263">
        <v>0</v>
      </c>
      <c r="W65" s="263">
        <v>0</v>
      </c>
      <c r="X65" s="263"/>
      <c r="Y65" s="263"/>
      <c r="Z65" s="263">
        <f t="shared" si="4"/>
        <v>0</v>
      </c>
      <c r="AA65" s="91" t="s">
        <v>72</v>
      </c>
      <c r="AB65" s="81"/>
      <c r="AC65" s="81"/>
      <c r="AD65" s="303"/>
      <c r="AE65" s="343"/>
      <c r="AF65" s="139" t="s">
        <v>172</v>
      </c>
      <c r="AG65" s="54" t="s">
        <v>163</v>
      </c>
      <c r="AH65" s="70">
        <v>0</v>
      </c>
      <c r="AI65" s="93">
        <v>5000000</v>
      </c>
      <c r="AJ65" s="93">
        <v>0</v>
      </c>
      <c r="AK65" s="106">
        <f t="shared" si="0"/>
        <v>0</v>
      </c>
      <c r="AL65" s="93">
        <v>0</v>
      </c>
      <c r="AM65" s="107">
        <f t="shared" si="1"/>
        <v>0</v>
      </c>
      <c r="AN65" s="108" t="s">
        <v>178</v>
      </c>
      <c r="AO65" s="101" t="s">
        <v>179</v>
      </c>
      <c r="AP65" s="54"/>
    </row>
    <row r="66" spans="2:42" ht="36" customHeight="1" x14ac:dyDescent="0.2">
      <c r="B66" s="382"/>
      <c r="C66" s="378" t="s">
        <v>51</v>
      </c>
      <c r="D66" s="303"/>
      <c r="E66" s="54"/>
      <c r="F66" s="54"/>
      <c r="G66" s="383" t="s">
        <v>57</v>
      </c>
      <c r="H66" s="299">
        <v>0.2</v>
      </c>
      <c r="I66" s="304" t="s">
        <v>67</v>
      </c>
      <c r="J66" s="304">
        <v>1</v>
      </c>
      <c r="K66" s="304">
        <v>1</v>
      </c>
      <c r="L66" s="304" t="s">
        <v>68</v>
      </c>
      <c r="M66" s="304">
        <v>1</v>
      </c>
      <c r="N66" s="371">
        <f>+SUMPRODUCT(U66*Z66+U74*Z74+U83*Z83)</f>
        <v>0.16350000000000001</v>
      </c>
      <c r="O66" s="517">
        <f>S66*M66</f>
        <v>0.16350000000000001</v>
      </c>
      <c r="P66" s="289"/>
      <c r="Q66" s="289"/>
      <c r="R66" s="289"/>
      <c r="S66" s="289">
        <f>+SUMPRODUCT(U66*Z66)+(U74*Z74)+(U83*Z83)</f>
        <v>0.16350000000000001</v>
      </c>
      <c r="T66" s="270" t="s">
        <v>122</v>
      </c>
      <c r="U66" s="271">
        <v>0.3</v>
      </c>
      <c r="V66" s="271">
        <f>+SUMPRODUCT(U67:U73*V67:V73)</f>
        <v>0</v>
      </c>
      <c r="W66" s="271">
        <f>+SUMPRODUCT(U67:U73*W67:W73)</f>
        <v>0.42000000000000004</v>
      </c>
      <c r="X66" s="271">
        <f>+SUMPRODUCT(U67:U73*X67:X73)</f>
        <v>0</v>
      </c>
      <c r="Y66" s="271">
        <f>+SUMPRODUCT(U67:U73*Y67:Y73)</f>
        <v>0</v>
      </c>
      <c r="Z66" s="271">
        <f t="shared" si="4"/>
        <v>0.42000000000000004</v>
      </c>
      <c r="AA66" s="53"/>
      <c r="AB66" s="82"/>
      <c r="AC66" s="82"/>
      <c r="AD66" s="303"/>
      <c r="AE66" s="343"/>
      <c r="AF66" s="53" t="s">
        <v>70</v>
      </c>
      <c r="AG66" s="53" t="s">
        <v>70</v>
      </c>
      <c r="AH66" s="53" t="s">
        <v>70</v>
      </c>
      <c r="AI66" s="114" t="s">
        <v>70</v>
      </c>
      <c r="AJ66" s="114" t="s">
        <v>70</v>
      </c>
      <c r="AK66" s="114" t="s">
        <v>70</v>
      </c>
      <c r="AL66" s="114" t="s">
        <v>70</v>
      </c>
      <c r="AM66" s="114" t="s">
        <v>70</v>
      </c>
      <c r="AN66" s="108" t="s">
        <v>178</v>
      </c>
      <c r="AO66" s="101" t="s">
        <v>179</v>
      </c>
      <c r="AP66" s="53"/>
    </row>
    <row r="67" spans="2:42" ht="90" customHeight="1" x14ac:dyDescent="0.2">
      <c r="B67" s="382"/>
      <c r="C67" s="382"/>
      <c r="D67" s="303"/>
      <c r="E67" s="54"/>
      <c r="F67" s="54"/>
      <c r="G67" s="384"/>
      <c r="H67" s="303"/>
      <c r="I67" s="305"/>
      <c r="J67" s="305"/>
      <c r="K67" s="305"/>
      <c r="L67" s="305"/>
      <c r="M67" s="305"/>
      <c r="N67" s="367"/>
      <c r="O67" s="518"/>
      <c r="P67" s="290"/>
      <c r="Q67" s="290"/>
      <c r="R67" s="290"/>
      <c r="S67" s="290"/>
      <c r="T67" s="81" t="s">
        <v>123</v>
      </c>
      <c r="U67" s="263">
        <v>0.1</v>
      </c>
      <c r="V67" s="263">
        <v>0</v>
      </c>
      <c r="W67" s="263">
        <v>0.8</v>
      </c>
      <c r="X67" s="263"/>
      <c r="Y67" s="263"/>
      <c r="Z67" s="263">
        <f t="shared" si="4"/>
        <v>0.8</v>
      </c>
      <c r="AA67" s="91" t="s">
        <v>72</v>
      </c>
      <c r="AB67" s="81" t="s">
        <v>809</v>
      </c>
      <c r="AC67" s="81" t="s">
        <v>810</v>
      </c>
      <c r="AD67" s="303"/>
      <c r="AE67" s="343"/>
      <c r="AF67" s="451" t="s">
        <v>171</v>
      </c>
      <c r="AG67" s="454" t="s">
        <v>159</v>
      </c>
      <c r="AH67" s="307">
        <v>211680000</v>
      </c>
      <c r="AI67" s="319">
        <v>211680000</v>
      </c>
      <c r="AJ67" s="319">
        <f>+(3570000*4)*2+3570000+1800000+60000000</f>
        <v>93930000</v>
      </c>
      <c r="AK67" s="332">
        <f t="shared" si="0"/>
        <v>0.44373582766439912</v>
      </c>
      <c r="AL67" s="319">
        <v>93930000</v>
      </c>
      <c r="AM67" s="332">
        <f t="shared" si="1"/>
        <v>0.44373582766439912</v>
      </c>
      <c r="AN67" s="108" t="s">
        <v>178</v>
      </c>
      <c r="AO67" s="101" t="s">
        <v>179</v>
      </c>
      <c r="AP67" s="54"/>
    </row>
    <row r="68" spans="2:42" ht="229.5" x14ac:dyDescent="0.2">
      <c r="B68" s="382"/>
      <c r="C68" s="382"/>
      <c r="D68" s="303"/>
      <c r="E68" s="54"/>
      <c r="F68" s="54"/>
      <c r="G68" s="384"/>
      <c r="H68" s="303"/>
      <c r="I68" s="305"/>
      <c r="J68" s="305"/>
      <c r="K68" s="305"/>
      <c r="L68" s="305"/>
      <c r="M68" s="305"/>
      <c r="N68" s="367"/>
      <c r="O68" s="518"/>
      <c r="P68" s="290"/>
      <c r="Q68" s="290"/>
      <c r="R68" s="290"/>
      <c r="S68" s="290"/>
      <c r="T68" s="81" t="s">
        <v>124</v>
      </c>
      <c r="U68" s="263">
        <v>0.1</v>
      </c>
      <c r="V68" s="263">
        <v>0</v>
      </c>
      <c r="W68" s="263">
        <v>0.6</v>
      </c>
      <c r="X68" s="263"/>
      <c r="Y68" s="263"/>
      <c r="Z68" s="263">
        <f t="shared" si="4"/>
        <v>0.6</v>
      </c>
      <c r="AA68" s="91" t="s">
        <v>72</v>
      </c>
      <c r="AB68" s="81" t="s">
        <v>811</v>
      </c>
      <c r="AC68" s="81" t="s">
        <v>810</v>
      </c>
      <c r="AD68" s="303"/>
      <c r="AE68" s="343"/>
      <c r="AF68" s="452"/>
      <c r="AG68" s="455"/>
      <c r="AH68" s="308"/>
      <c r="AI68" s="320"/>
      <c r="AJ68" s="320"/>
      <c r="AK68" s="333"/>
      <c r="AL68" s="320"/>
      <c r="AM68" s="333"/>
      <c r="AN68" s="108" t="s">
        <v>178</v>
      </c>
      <c r="AO68" s="101" t="s">
        <v>179</v>
      </c>
      <c r="AP68" s="54"/>
    </row>
    <row r="69" spans="2:42" ht="280.5" x14ac:dyDescent="0.2">
      <c r="B69" s="382"/>
      <c r="C69" s="382"/>
      <c r="D69" s="303"/>
      <c r="E69" s="54"/>
      <c r="F69" s="54"/>
      <c r="G69" s="384"/>
      <c r="H69" s="303"/>
      <c r="I69" s="305"/>
      <c r="J69" s="305"/>
      <c r="K69" s="305"/>
      <c r="L69" s="305"/>
      <c r="M69" s="305"/>
      <c r="N69" s="367"/>
      <c r="O69" s="518"/>
      <c r="P69" s="290"/>
      <c r="Q69" s="290"/>
      <c r="R69" s="290"/>
      <c r="S69" s="290"/>
      <c r="T69" s="81" t="s">
        <v>125</v>
      </c>
      <c r="U69" s="263">
        <v>0.15</v>
      </c>
      <c r="V69" s="263">
        <v>0</v>
      </c>
      <c r="W69" s="263">
        <v>0.36</v>
      </c>
      <c r="X69" s="263"/>
      <c r="Y69" s="263"/>
      <c r="Z69" s="263">
        <f t="shared" si="4"/>
        <v>0.36</v>
      </c>
      <c r="AA69" s="91" t="s">
        <v>72</v>
      </c>
      <c r="AB69" s="81" t="s">
        <v>812</v>
      </c>
      <c r="AC69" s="81" t="s">
        <v>810</v>
      </c>
      <c r="AD69" s="303"/>
      <c r="AE69" s="343"/>
      <c r="AF69" s="453"/>
      <c r="AG69" s="456"/>
      <c r="AH69" s="308"/>
      <c r="AI69" s="321"/>
      <c r="AJ69" s="321"/>
      <c r="AK69" s="333"/>
      <c r="AL69" s="321"/>
      <c r="AM69" s="333"/>
      <c r="AN69" s="108" t="s">
        <v>178</v>
      </c>
      <c r="AO69" s="101" t="s">
        <v>179</v>
      </c>
      <c r="AP69" s="54"/>
    </row>
    <row r="70" spans="2:42" ht="44.25" customHeight="1" x14ac:dyDescent="0.2">
      <c r="B70" s="382"/>
      <c r="C70" s="382"/>
      <c r="D70" s="303"/>
      <c r="E70" s="54"/>
      <c r="F70" s="54"/>
      <c r="G70" s="384"/>
      <c r="H70" s="303"/>
      <c r="I70" s="305"/>
      <c r="J70" s="305"/>
      <c r="K70" s="305"/>
      <c r="L70" s="305"/>
      <c r="M70" s="305"/>
      <c r="N70" s="367"/>
      <c r="O70" s="518"/>
      <c r="P70" s="290"/>
      <c r="Q70" s="290"/>
      <c r="R70" s="290"/>
      <c r="S70" s="290"/>
      <c r="T70" s="81" t="s">
        <v>126</v>
      </c>
      <c r="U70" s="263">
        <v>0.05</v>
      </c>
      <c r="V70" s="263">
        <v>0</v>
      </c>
      <c r="W70" s="263">
        <v>0</v>
      </c>
      <c r="X70" s="263"/>
      <c r="Y70" s="263"/>
      <c r="Z70" s="263">
        <f t="shared" si="4"/>
        <v>0</v>
      </c>
      <c r="AA70" s="91" t="s">
        <v>72</v>
      </c>
      <c r="AB70" s="81"/>
      <c r="AC70" s="81"/>
      <c r="AD70" s="303"/>
      <c r="AE70" s="343"/>
      <c r="AF70" s="140" t="s">
        <v>172</v>
      </c>
      <c r="AG70" s="84" t="s">
        <v>163</v>
      </c>
      <c r="AH70" s="134">
        <v>0</v>
      </c>
      <c r="AI70" s="94">
        <v>1785000</v>
      </c>
      <c r="AJ70" s="124">
        <v>1785000</v>
      </c>
      <c r="AK70" s="106">
        <f t="shared" si="0"/>
        <v>1</v>
      </c>
      <c r="AL70" s="94">
        <v>1785000</v>
      </c>
      <c r="AM70" s="107">
        <f t="shared" si="1"/>
        <v>1</v>
      </c>
      <c r="AN70" s="108" t="s">
        <v>178</v>
      </c>
      <c r="AO70" s="101" t="s">
        <v>179</v>
      </c>
      <c r="AP70" s="54"/>
    </row>
    <row r="71" spans="2:42" ht="38.25" x14ac:dyDescent="0.2">
      <c r="B71" s="382"/>
      <c r="C71" s="382"/>
      <c r="D71" s="303"/>
      <c r="E71" s="54"/>
      <c r="F71" s="54"/>
      <c r="G71" s="384"/>
      <c r="H71" s="303"/>
      <c r="I71" s="305"/>
      <c r="J71" s="305"/>
      <c r="K71" s="305"/>
      <c r="L71" s="305"/>
      <c r="M71" s="305"/>
      <c r="N71" s="367"/>
      <c r="O71" s="518"/>
      <c r="P71" s="290"/>
      <c r="Q71" s="290"/>
      <c r="R71" s="290"/>
      <c r="S71" s="290"/>
      <c r="T71" s="81" t="s">
        <v>127</v>
      </c>
      <c r="U71" s="263">
        <v>0.2</v>
      </c>
      <c r="V71" s="263">
        <v>0</v>
      </c>
      <c r="W71" s="263">
        <v>0</v>
      </c>
      <c r="X71" s="263"/>
      <c r="Y71" s="263"/>
      <c r="Z71" s="263">
        <f t="shared" si="4"/>
        <v>0</v>
      </c>
      <c r="AA71" s="91" t="s">
        <v>72</v>
      </c>
      <c r="AB71" s="81"/>
      <c r="AC71" s="81"/>
      <c r="AD71" s="303"/>
      <c r="AE71" s="343"/>
      <c r="AF71" s="141" t="s">
        <v>172</v>
      </c>
      <c r="AG71" s="88" t="s">
        <v>163</v>
      </c>
      <c r="AH71" s="70">
        <v>0</v>
      </c>
      <c r="AI71" s="93">
        <v>11196000</v>
      </c>
      <c r="AJ71" s="93">
        <v>6000000</v>
      </c>
      <c r="AK71" s="106">
        <f t="shared" si="0"/>
        <v>0.53590568060021437</v>
      </c>
      <c r="AL71" s="93">
        <v>6000000</v>
      </c>
      <c r="AM71" s="107">
        <f t="shared" si="1"/>
        <v>0.53590568060021437</v>
      </c>
      <c r="AN71" s="108" t="s">
        <v>178</v>
      </c>
      <c r="AO71" s="101" t="s">
        <v>179</v>
      </c>
      <c r="AP71" s="54"/>
    </row>
    <row r="72" spans="2:42" ht="122.45" customHeight="1" x14ac:dyDescent="0.2">
      <c r="B72" s="382"/>
      <c r="C72" s="382"/>
      <c r="D72" s="303"/>
      <c r="E72" s="54"/>
      <c r="F72" s="54"/>
      <c r="G72" s="384"/>
      <c r="H72" s="303"/>
      <c r="I72" s="305"/>
      <c r="J72" s="305"/>
      <c r="K72" s="305"/>
      <c r="L72" s="305"/>
      <c r="M72" s="305"/>
      <c r="N72" s="367"/>
      <c r="O72" s="518"/>
      <c r="P72" s="290"/>
      <c r="Q72" s="290"/>
      <c r="R72" s="290"/>
      <c r="S72" s="290"/>
      <c r="T72" s="81" t="s">
        <v>128</v>
      </c>
      <c r="U72" s="263">
        <v>0.2</v>
      </c>
      <c r="V72" s="263">
        <v>0</v>
      </c>
      <c r="W72" s="263">
        <v>0.8</v>
      </c>
      <c r="X72" s="263"/>
      <c r="Y72" s="263"/>
      <c r="Z72" s="263">
        <f t="shared" si="4"/>
        <v>0.8</v>
      </c>
      <c r="AA72" s="91" t="s">
        <v>72</v>
      </c>
      <c r="AB72" s="81" t="s">
        <v>813</v>
      </c>
      <c r="AC72" s="81" t="s">
        <v>810</v>
      </c>
      <c r="AD72" s="303"/>
      <c r="AE72" s="450"/>
      <c r="AF72" s="152" t="s">
        <v>172</v>
      </c>
      <c r="AG72" s="133" t="s">
        <v>163</v>
      </c>
      <c r="AH72" s="100">
        <v>0</v>
      </c>
      <c r="AI72" s="93">
        <v>15804000</v>
      </c>
      <c r="AJ72" s="93">
        <v>0</v>
      </c>
      <c r="AK72" s="106">
        <f t="shared" si="0"/>
        <v>0</v>
      </c>
      <c r="AL72" s="93">
        <v>0</v>
      </c>
      <c r="AM72" s="107">
        <f t="shared" si="1"/>
        <v>0</v>
      </c>
      <c r="AN72" s="108" t="s">
        <v>178</v>
      </c>
      <c r="AO72" s="101" t="s">
        <v>179</v>
      </c>
      <c r="AP72" s="54"/>
    </row>
    <row r="73" spans="2:42" ht="115.15" customHeight="1" x14ac:dyDescent="0.2">
      <c r="B73" s="382"/>
      <c r="C73" s="382"/>
      <c r="D73" s="303"/>
      <c r="E73" s="54"/>
      <c r="F73" s="54"/>
      <c r="G73" s="384"/>
      <c r="H73" s="303"/>
      <c r="I73" s="305"/>
      <c r="J73" s="305"/>
      <c r="K73" s="305"/>
      <c r="L73" s="305"/>
      <c r="M73" s="305"/>
      <c r="N73" s="367"/>
      <c r="O73" s="518"/>
      <c r="P73" s="290"/>
      <c r="Q73" s="290"/>
      <c r="R73" s="290"/>
      <c r="S73" s="290"/>
      <c r="T73" s="81" t="s">
        <v>129</v>
      </c>
      <c r="U73" s="263">
        <v>0.2</v>
      </c>
      <c r="V73" s="263">
        <v>0</v>
      </c>
      <c r="W73" s="263">
        <v>0.33</v>
      </c>
      <c r="X73" s="263"/>
      <c r="Y73" s="263"/>
      <c r="Z73" s="263">
        <f t="shared" si="4"/>
        <v>0.33</v>
      </c>
      <c r="AA73" s="91" t="s">
        <v>72</v>
      </c>
      <c r="AB73" s="81" t="s">
        <v>814</v>
      </c>
      <c r="AC73" s="81" t="s">
        <v>810</v>
      </c>
      <c r="AD73" s="303"/>
      <c r="AE73" s="450"/>
      <c r="AF73" s="140" t="s">
        <v>172</v>
      </c>
      <c r="AG73" s="84" t="s">
        <v>163</v>
      </c>
      <c r="AH73" s="100">
        <v>0</v>
      </c>
      <c r="AI73" s="93">
        <v>25000000</v>
      </c>
      <c r="AJ73" s="93">
        <v>0</v>
      </c>
      <c r="AK73" s="106">
        <f t="shared" si="0"/>
        <v>0</v>
      </c>
      <c r="AL73" s="93">
        <v>0</v>
      </c>
      <c r="AM73" s="107">
        <f t="shared" si="1"/>
        <v>0</v>
      </c>
      <c r="AN73" s="108" t="s">
        <v>178</v>
      </c>
      <c r="AO73" s="101" t="s">
        <v>179</v>
      </c>
      <c r="AP73" s="54"/>
    </row>
    <row r="74" spans="2:42" ht="33.75" customHeight="1" x14ac:dyDescent="0.2">
      <c r="B74" s="382"/>
      <c r="C74" s="382"/>
      <c r="D74" s="303"/>
      <c r="E74" s="54"/>
      <c r="F74" s="54"/>
      <c r="G74" s="384"/>
      <c r="H74" s="303"/>
      <c r="I74" s="305"/>
      <c r="J74" s="305"/>
      <c r="K74" s="305"/>
      <c r="L74" s="305"/>
      <c r="M74" s="305"/>
      <c r="N74" s="367"/>
      <c r="O74" s="518"/>
      <c r="P74" s="290"/>
      <c r="Q74" s="290"/>
      <c r="R74" s="290"/>
      <c r="S74" s="290"/>
      <c r="T74" s="267" t="s">
        <v>130</v>
      </c>
      <c r="U74" s="269">
        <v>0.5</v>
      </c>
      <c r="V74" s="272">
        <f>SUMPRODUCT($U$75*V75+$U$78*V78+$U$79*V79+$U$81*V81+$U$82*V82)</f>
        <v>0</v>
      </c>
      <c r="W74" s="272">
        <f>SUMPRODUCT($U$75*W75+$U$78*W78+$U$79*W79+$U$81*W81+$U$82*W82)</f>
        <v>0.15000000000000002</v>
      </c>
      <c r="X74" s="272">
        <f t="shared" ref="X74:Y74" si="5">SUMPRODUCT($U$75*X75+$U$78*X78+$U$79*X79+$U$81*X81+$U$82*X82)</f>
        <v>0</v>
      </c>
      <c r="Y74" s="272">
        <f t="shared" si="5"/>
        <v>0</v>
      </c>
      <c r="Z74" s="272">
        <f>+SUMPRODUCT(V74:Y74*U74)</f>
        <v>7.5000000000000011E-2</v>
      </c>
      <c r="AA74" s="53"/>
      <c r="AB74" s="82"/>
      <c r="AC74" s="82"/>
      <c r="AD74" s="303"/>
      <c r="AE74" s="343"/>
      <c r="AF74" s="90" t="s">
        <v>70</v>
      </c>
      <c r="AG74" s="90" t="s">
        <v>70</v>
      </c>
      <c r="AH74" s="90" t="s">
        <v>70</v>
      </c>
      <c r="AI74" s="115" t="s">
        <v>70</v>
      </c>
      <c r="AJ74" s="115" t="s">
        <v>70</v>
      </c>
      <c r="AK74" s="115" t="s">
        <v>70</v>
      </c>
      <c r="AL74" s="115" t="s">
        <v>70</v>
      </c>
      <c r="AM74" s="115" t="s">
        <v>70</v>
      </c>
      <c r="AN74" s="108" t="s">
        <v>178</v>
      </c>
      <c r="AO74" s="101" t="s">
        <v>179</v>
      </c>
      <c r="AP74" s="53"/>
    </row>
    <row r="75" spans="2:42" ht="32.25" customHeight="1" x14ac:dyDescent="0.2">
      <c r="B75" s="382"/>
      <c r="C75" s="382"/>
      <c r="D75" s="303"/>
      <c r="E75" s="54"/>
      <c r="F75" s="54"/>
      <c r="G75" s="384"/>
      <c r="H75" s="303"/>
      <c r="I75" s="305"/>
      <c r="J75" s="305"/>
      <c r="K75" s="305"/>
      <c r="L75" s="305"/>
      <c r="M75" s="305"/>
      <c r="N75" s="367"/>
      <c r="O75" s="518"/>
      <c r="P75" s="290"/>
      <c r="Q75" s="290"/>
      <c r="R75" s="290"/>
      <c r="S75" s="290"/>
      <c r="T75" s="322" t="s">
        <v>131</v>
      </c>
      <c r="U75" s="299">
        <v>0.25</v>
      </c>
      <c r="V75" s="350">
        <v>0</v>
      </c>
      <c r="W75" s="350">
        <v>0</v>
      </c>
      <c r="X75" s="350"/>
      <c r="Y75" s="350"/>
      <c r="Z75" s="350">
        <f>+SUMPRODUCT(V75:Y77)</f>
        <v>0</v>
      </c>
      <c r="AA75" s="304" t="s">
        <v>72</v>
      </c>
      <c r="AB75" s="360"/>
      <c r="AC75" s="360"/>
      <c r="AD75" s="303"/>
      <c r="AE75" s="343"/>
      <c r="AF75" s="152" t="s">
        <v>172</v>
      </c>
      <c r="AG75" s="133" t="s">
        <v>163</v>
      </c>
      <c r="AH75" s="134">
        <v>0</v>
      </c>
      <c r="AI75" s="135">
        <v>471329700</v>
      </c>
      <c r="AJ75" s="135">
        <f>350000000+95619000</f>
        <v>445619000</v>
      </c>
      <c r="AK75" s="106">
        <f t="shared" si="0"/>
        <v>0.9454507110415491</v>
      </c>
      <c r="AL75" s="135">
        <v>445619000</v>
      </c>
      <c r="AM75" s="107">
        <f t="shared" si="1"/>
        <v>0.9454507110415491</v>
      </c>
      <c r="AN75" s="108" t="s">
        <v>178</v>
      </c>
      <c r="AO75" s="101" t="s">
        <v>179</v>
      </c>
      <c r="AP75" s="304"/>
    </row>
    <row r="76" spans="2:42" ht="32.25" customHeight="1" x14ac:dyDescent="0.2">
      <c r="B76" s="382"/>
      <c r="C76" s="382"/>
      <c r="D76" s="303"/>
      <c r="E76" s="91"/>
      <c r="F76" s="91"/>
      <c r="G76" s="384"/>
      <c r="H76" s="303"/>
      <c r="I76" s="305"/>
      <c r="J76" s="305"/>
      <c r="K76" s="305"/>
      <c r="L76" s="305"/>
      <c r="M76" s="305"/>
      <c r="N76" s="367"/>
      <c r="O76" s="518"/>
      <c r="P76" s="290"/>
      <c r="Q76" s="290"/>
      <c r="R76" s="290"/>
      <c r="S76" s="290"/>
      <c r="T76" s="359"/>
      <c r="U76" s="303"/>
      <c r="V76" s="351"/>
      <c r="W76" s="351"/>
      <c r="X76" s="351"/>
      <c r="Y76" s="351"/>
      <c r="Z76" s="351"/>
      <c r="AA76" s="305"/>
      <c r="AB76" s="365"/>
      <c r="AC76" s="365"/>
      <c r="AD76" s="303"/>
      <c r="AE76" s="343"/>
      <c r="AF76" s="152" t="s">
        <v>826</v>
      </c>
      <c r="AG76" s="133" t="s">
        <v>827</v>
      </c>
      <c r="AH76" s="134"/>
      <c r="AI76" s="135">
        <v>5245749.4800000004</v>
      </c>
      <c r="AJ76" s="135"/>
      <c r="AK76" s="106">
        <f t="shared" si="0"/>
        <v>0</v>
      </c>
      <c r="AL76" s="135"/>
      <c r="AM76" s="107">
        <f t="shared" si="1"/>
        <v>0</v>
      </c>
      <c r="AN76" s="108"/>
      <c r="AO76" s="101"/>
      <c r="AP76" s="305"/>
    </row>
    <row r="77" spans="2:42" ht="28.5" customHeight="1" x14ac:dyDescent="0.2">
      <c r="B77" s="382"/>
      <c r="C77" s="382"/>
      <c r="D77" s="303"/>
      <c r="E77" s="54"/>
      <c r="F77" s="54"/>
      <c r="G77" s="384"/>
      <c r="H77" s="303"/>
      <c r="I77" s="305"/>
      <c r="J77" s="305"/>
      <c r="K77" s="305"/>
      <c r="L77" s="305"/>
      <c r="M77" s="305"/>
      <c r="N77" s="367"/>
      <c r="O77" s="518"/>
      <c r="P77" s="290"/>
      <c r="Q77" s="290"/>
      <c r="R77" s="290"/>
      <c r="S77" s="290"/>
      <c r="T77" s="323"/>
      <c r="U77" s="300"/>
      <c r="V77" s="352"/>
      <c r="W77" s="352"/>
      <c r="X77" s="352"/>
      <c r="Y77" s="352"/>
      <c r="Z77" s="352"/>
      <c r="AA77" s="306"/>
      <c r="AB77" s="361"/>
      <c r="AC77" s="361"/>
      <c r="AD77" s="303"/>
      <c r="AE77" s="343"/>
      <c r="AF77" s="153" t="s">
        <v>168</v>
      </c>
      <c r="AG77" s="154" t="s">
        <v>161</v>
      </c>
      <c r="AH77" s="134">
        <v>20000000</v>
      </c>
      <c r="AI77" s="135">
        <v>24000000</v>
      </c>
      <c r="AJ77" s="135">
        <v>24000000</v>
      </c>
      <c r="AK77" s="106">
        <f>+AJ77/AI77</f>
        <v>1</v>
      </c>
      <c r="AL77" s="135">
        <v>24000000</v>
      </c>
      <c r="AM77" s="107">
        <f t="shared" si="1"/>
        <v>1</v>
      </c>
      <c r="AN77" s="108" t="s">
        <v>178</v>
      </c>
      <c r="AO77" s="101" t="s">
        <v>179</v>
      </c>
      <c r="AP77" s="306"/>
    </row>
    <row r="78" spans="2:42" ht="38.25" x14ac:dyDescent="0.2">
      <c r="B78" s="382"/>
      <c r="C78" s="382"/>
      <c r="D78" s="303"/>
      <c r="E78" s="54"/>
      <c r="F78" s="54"/>
      <c r="G78" s="384"/>
      <c r="H78" s="303"/>
      <c r="I78" s="305"/>
      <c r="J78" s="305"/>
      <c r="K78" s="305"/>
      <c r="L78" s="305"/>
      <c r="M78" s="305"/>
      <c r="N78" s="367"/>
      <c r="O78" s="518"/>
      <c r="P78" s="290"/>
      <c r="Q78" s="290"/>
      <c r="R78" s="290"/>
      <c r="S78" s="290"/>
      <c r="T78" s="81" t="s">
        <v>132</v>
      </c>
      <c r="U78" s="56">
        <v>0.1</v>
      </c>
      <c r="V78" s="264">
        <v>0</v>
      </c>
      <c r="W78" s="264">
        <v>0</v>
      </c>
      <c r="X78" s="264"/>
      <c r="Y78" s="264"/>
      <c r="Z78" s="56">
        <f>+SUMPRODUCT(V78:Y78)</f>
        <v>0</v>
      </c>
      <c r="AA78" s="91" t="s">
        <v>72</v>
      </c>
      <c r="AB78" s="81"/>
      <c r="AC78" s="81"/>
      <c r="AD78" s="303"/>
      <c r="AE78" s="343"/>
      <c r="AF78" s="138" t="s">
        <v>168</v>
      </c>
      <c r="AG78" s="86" t="s">
        <v>161</v>
      </c>
      <c r="AH78" s="70">
        <v>6000000</v>
      </c>
      <c r="AI78" s="93">
        <v>6000000</v>
      </c>
      <c r="AJ78" s="93"/>
      <c r="AK78" s="106">
        <f t="shared" ref="AK78:AK107" si="6">+AJ78/AI78</f>
        <v>0</v>
      </c>
      <c r="AL78" s="93"/>
      <c r="AM78" s="107">
        <f t="shared" ref="AM78:AM107" si="7">+AL78/AI78</f>
        <v>0</v>
      </c>
      <c r="AN78" s="108" t="s">
        <v>178</v>
      </c>
      <c r="AO78" s="101" t="s">
        <v>179</v>
      </c>
      <c r="AP78" s="54"/>
    </row>
    <row r="79" spans="2:42" ht="56.25" customHeight="1" x14ac:dyDescent="0.2">
      <c r="B79" s="382"/>
      <c r="C79" s="382"/>
      <c r="D79" s="303"/>
      <c r="E79" s="80"/>
      <c r="F79" s="80"/>
      <c r="G79" s="384"/>
      <c r="H79" s="303"/>
      <c r="I79" s="305"/>
      <c r="J79" s="305"/>
      <c r="K79" s="305"/>
      <c r="L79" s="305"/>
      <c r="M79" s="305"/>
      <c r="N79" s="367"/>
      <c r="O79" s="518"/>
      <c r="P79" s="290"/>
      <c r="Q79" s="290"/>
      <c r="R79" s="290"/>
      <c r="S79" s="290"/>
      <c r="T79" s="322" t="s">
        <v>133</v>
      </c>
      <c r="U79" s="299">
        <v>0.4</v>
      </c>
      <c r="V79" s="350">
        <v>0</v>
      </c>
      <c r="W79" s="460">
        <v>0.375</v>
      </c>
      <c r="X79" s="460"/>
      <c r="Y79" s="460"/>
      <c r="Z79" s="460">
        <f>+SUMPRODUCT(V79:Y80)</f>
        <v>0.375</v>
      </c>
      <c r="AA79" s="304" t="s">
        <v>186</v>
      </c>
      <c r="AB79" s="360" t="s">
        <v>815</v>
      </c>
      <c r="AC79" s="360" t="s">
        <v>810</v>
      </c>
      <c r="AD79" s="303"/>
      <c r="AE79" s="343"/>
      <c r="AF79" s="147" t="s">
        <v>171</v>
      </c>
      <c r="AG79" s="86" t="s">
        <v>159</v>
      </c>
      <c r="AH79" s="70">
        <v>177867875</v>
      </c>
      <c r="AI79" s="93">
        <v>177867875</v>
      </c>
      <c r="AJ79" s="93">
        <f>35295000+65100000</f>
        <v>100395000</v>
      </c>
      <c r="AK79" s="106">
        <f t="shared" si="6"/>
        <v>0.56443582068993625</v>
      </c>
      <c r="AL79" s="93">
        <v>100395000</v>
      </c>
      <c r="AM79" s="107">
        <f t="shared" si="7"/>
        <v>0.56443582068993625</v>
      </c>
      <c r="AN79" s="108" t="s">
        <v>178</v>
      </c>
      <c r="AO79" s="101" t="s">
        <v>179</v>
      </c>
      <c r="AP79" s="80"/>
    </row>
    <row r="80" spans="2:42" ht="38.25" x14ac:dyDescent="0.2">
      <c r="B80" s="382"/>
      <c r="C80" s="382"/>
      <c r="D80" s="303"/>
      <c r="E80" s="54"/>
      <c r="F80" s="54"/>
      <c r="G80" s="384"/>
      <c r="H80" s="303"/>
      <c r="I80" s="305"/>
      <c r="J80" s="305"/>
      <c r="K80" s="305"/>
      <c r="L80" s="305"/>
      <c r="M80" s="305"/>
      <c r="N80" s="367"/>
      <c r="O80" s="518"/>
      <c r="P80" s="290"/>
      <c r="Q80" s="290"/>
      <c r="R80" s="290"/>
      <c r="S80" s="290"/>
      <c r="T80" s="323"/>
      <c r="U80" s="300"/>
      <c r="V80" s="352"/>
      <c r="W80" s="461"/>
      <c r="X80" s="461"/>
      <c r="Y80" s="461"/>
      <c r="Z80" s="461"/>
      <c r="AA80" s="306" t="s">
        <v>72</v>
      </c>
      <c r="AB80" s="361"/>
      <c r="AC80" s="361"/>
      <c r="AD80" s="303"/>
      <c r="AE80" s="343"/>
      <c r="AF80" s="139" t="s">
        <v>172</v>
      </c>
      <c r="AG80" s="54" t="s">
        <v>163</v>
      </c>
      <c r="AH80" s="70">
        <v>0</v>
      </c>
      <c r="AI80" s="93">
        <v>40000000</v>
      </c>
      <c r="AJ80" s="93">
        <v>15400000</v>
      </c>
      <c r="AK80" s="106">
        <f t="shared" si="6"/>
        <v>0.38500000000000001</v>
      </c>
      <c r="AL80" s="93">
        <v>15400000</v>
      </c>
      <c r="AM80" s="107">
        <f t="shared" si="7"/>
        <v>0.38500000000000001</v>
      </c>
      <c r="AN80" s="108" t="s">
        <v>178</v>
      </c>
      <c r="AO80" s="101" t="s">
        <v>179</v>
      </c>
      <c r="AP80" s="54"/>
    </row>
    <row r="81" spans="2:42" ht="38.25" x14ac:dyDescent="0.2">
      <c r="B81" s="382"/>
      <c r="C81" s="382"/>
      <c r="D81" s="303"/>
      <c r="E81" s="54"/>
      <c r="F81" s="54"/>
      <c r="G81" s="384"/>
      <c r="H81" s="303"/>
      <c r="I81" s="305"/>
      <c r="J81" s="305"/>
      <c r="K81" s="305"/>
      <c r="L81" s="305"/>
      <c r="M81" s="305"/>
      <c r="N81" s="367"/>
      <c r="O81" s="518"/>
      <c r="P81" s="290"/>
      <c r="Q81" s="290"/>
      <c r="R81" s="290"/>
      <c r="S81" s="290"/>
      <c r="T81" s="81" t="s">
        <v>134</v>
      </c>
      <c r="U81" s="56">
        <v>0.1</v>
      </c>
      <c r="V81" s="264">
        <v>0</v>
      </c>
      <c r="W81" s="264">
        <v>0</v>
      </c>
      <c r="X81" s="264"/>
      <c r="Y81" s="264"/>
      <c r="Z81" s="274">
        <f>+SUMPRODUCT(V81:Y81)</f>
        <v>0</v>
      </c>
      <c r="AA81" s="91" t="s">
        <v>184</v>
      </c>
      <c r="AB81" s="81"/>
      <c r="AC81" s="81"/>
      <c r="AD81" s="303"/>
      <c r="AE81" s="343"/>
      <c r="AF81" s="138" t="s">
        <v>168</v>
      </c>
      <c r="AG81" s="86" t="s">
        <v>161</v>
      </c>
      <c r="AH81" s="70">
        <v>31175908</v>
      </c>
      <c r="AI81" s="93">
        <v>31175908</v>
      </c>
      <c r="AJ81" s="93"/>
      <c r="AK81" s="106">
        <f t="shared" si="6"/>
        <v>0</v>
      </c>
      <c r="AL81" s="93"/>
      <c r="AM81" s="107">
        <f t="shared" si="7"/>
        <v>0</v>
      </c>
      <c r="AN81" s="108" t="s">
        <v>178</v>
      </c>
      <c r="AO81" s="101" t="s">
        <v>179</v>
      </c>
      <c r="AP81" s="54"/>
    </row>
    <row r="82" spans="2:42" ht="38.25" x14ac:dyDescent="0.2">
      <c r="B82" s="382"/>
      <c r="C82" s="382"/>
      <c r="D82" s="303"/>
      <c r="E82" s="54"/>
      <c r="F82" s="54"/>
      <c r="G82" s="384"/>
      <c r="H82" s="303"/>
      <c r="I82" s="305"/>
      <c r="J82" s="305"/>
      <c r="K82" s="305"/>
      <c r="L82" s="305"/>
      <c r="M82" s="305"/>
      <c r="N82" s="367"/>
      <c r="O82" s="518"/>
      <c r="P82" s="290"/>
      <c r="Q82" s="290"/>
      <c r="R82" s="290"/>
      <c r="S82" s="290"/>
      <c r="T82" s="81" t="s">
        <v>135</v>
      </c>
      <c r="U82" s="56">
        <v>0.15</v>
      </c>
      <c r="V82" s="264">
        <v>0</v>
      </c>
      <c r="W82" s="264">
        <v>0</v>
      </c>
      <c r="X82" s="264"/>
      <c r="Y82" s="264"/>
      <c r="Z82" s="264">
        <f>+SUMPRODUCT(V82:Y82)</f>
        <v>0</v>
      </c>
      <c r="AA82" s="91" t="s">
        <v>111</v>
      </c>
      <c r="AB82" s="81"/>
      <c r="AC82" s="81"/>
      <c r="AD82" s="303"/>
      <c r="AE82" s="343"/>
      <c r="AF82" s="138" t="s">
        <v>168</v>
      </c>
      <c r="AG82" s="86" t="s">
        <v>161</v>
      </c>
      <c r="AH82" s="70">
        <v>25000000</v>
      </c>
      <c r="AI82" s="93">
        <v>33000000</v>
      </c>
      <c r="AJ82" s="93">
        <v>33000000</v>
      </c>
      <c r="AK82" s="106">
        <f t="shared" si="6"/>
        <v>1</v>
      </c>
      <c r="AL82" s="93">
        <v>33000000</v>
      </c>
      <c r="AM82" s="107">
        <f t="shared" si="7"/>
        <v>1</v>
      </c>
      <c r="AN82" s="108" t="s">
        <v>178</v>
      </c>
      <c r="AO82" s="101" t="s">
        <v>179</v>
      </c>
      <c r="AP82" s="54"/>
    </row>
    <row r="83" spans="2:42" ht="13.15" customHeight="1" x14ac:dyDescent="0.2">
      <c r="B83" s="382"/>
      <c r="C83" s="382"/>
      <c r="D83" s="303"/>
      <c r="E83" s="54"/>
      <c r="F83" s="54"/>
      <c r="G83" s="384"/>
      <c r="H83" s="303"/>
      <c r="I83" s="305"/>
      <c r="J83" s="305"/>
      <c r="K83" s="305"/>
      <c r="L83" s="305"/>
      <c r="M83" s="305"/>
      <c r="N83" s="367"/>
      <c r="O83" s="518"/>
      <c r="P83" s="290"/>
      <c r="Q83" s="290"/>
      <c r="R83" s="290"/>
      <c r="S83" s="290"/>
      <c r="T83" s="353" t="s">
        <v>136</v>
      </c>
      <c r="U83" s="355">
        <v>0.2</v>
      </c>
      <c r="V83" s="357">
        <v>0</v>
      </c>
      <c r="W83" s="357">
        <v>0</v>
      </c>
      <c r="X83" s="357">
        <v>0</v>
      </c>
      <c r="Y83" s="357">
        <v>0</v>
      </c>
      <c r="Z83" s="357">
        <f>+SUMPRODUCT(U83*V83:Y84)</f>
        <v>0</v>
      </c>
      <c r="AA83" s="304" t="s">
        <v>186</v>
      </c>
      <c r="AB83" s="360"/>
      <c r="AC83" s="360"/>
      <c r="AD83" s="303"/>
      <c r="AE83" s="343"/>
      <c r="AF83" s="342" t="s">
        <v>172</v>
      </c>
      <c r="AG83" s="304" t="s">
        <v>163</v>
      </c>
      <c r="AH83" s="325">
        <v>0</v>
      </c>
      <c r="AI83" s="319">
        <v>300000000</v>
      </c>
      <c r="AJ83" s="319">
        <v>0</v>
      </c>
      <c r="AK83" s="332">
        <f t="shared" si="6"/>
        <v>0</v>
      </c>
      <c r="AL83" s="319">
        <v>0</v>
      </c>
      <c r="AM83" s="332">
        <f t="shared" si="7"/>
        <v>0</v>
      </c>
      <c r="AN83" s="108" t="s">
        <v>178</v>
      </c>
      <c r="AO83" s="101" t="s">
        <v>179</v>
      </c>
      <c r="AP83" s="304"/>
    </row>
    <row r="84" spans="2:42" ht="30" x14ac:dyDescent="0.2">
      <c r="B84" s="382"/>
      <c r="C84" s="379"/>
      <c r="D84" s="303"/>
      <c r="E84" s="54"/>
      <c r="F84" s="54"/>
      <c r="G84" s="385"/>
      <c r="H84" s="300"/>
      <c r="I84" s="306"/>
      <c r="J84" s="306"/>
      <c r="K84" s="306"/>
      <c r="L84" s="306"/>
      <c r="M84" s="306"/>
      <c r="N84" s="368"/>
      <c r="O84" s="519"/>
      <c r="P84" s="291"/>
      <c r="Q84" s="291"/>
      <c r="R84" s="291"/>
      <c r="S84" s="291"/>
      <c r="T84" s="354"/>
      <c r="U84" s="356"/>
      <c r="V84" s="358"/>
      <c r="W84" s="358"/>
      <c r="X84" s="358"/>
      <c r="Y84" s="358"/>
      <c r="Z84" s="358"/>
      <c r="AA84" s="306"/>
      <c r="AB84" s="361"/>
      <c r="AC84" s="361"/>
      <c r="AD84" s="303"/>
      <c r="AE84" s="343"/>
      <c r="AF84" s="306"/>
      <c r="AG84" s="306"/>
      <c r="AH84" s="326"/>
      <c r="AI84" s="321"/>
      <c r="AJ84" s="321"/>
      <c r="AK84" s="347"/>
      <c r="AL84" s="321"/>
      <c r="AM84" s="347"/>
      <c r="AN84" s="108" t="s">
        <v>178</v>
      </c>
      <c r="AO84" s="101" t="s">
        <v>179</v>
      </c>
      <c r="AP84" s="306"/>
    </row>
    <row r="85" spans="2:42" ht="51" x14ac:dyDescent="0.2">
      <c r="B85" s="382"/>
      <c r="C85" s="53" t="s">
        <v>51</v>
      </c>
      <c r="D85" s="303"/>
      <c r="E85" s="54"/>
      <c r="F85" s="54"/>
      <c r="G85" s="143" t="s">
        <v>58</v>
      </c>
      <c r="H85" s="155">
        <v>0.05</v>
      </c>
      <c r="I85" s="143" t="s">
        <v>67</v>
      </c>
      <c r="J85" s="143">
        <v>1</v>
      </c>
      <c r="K85" s="143">
        <v>1</v>
      </c>
      <c r="L85" s="143" t="s">
        <v>69</v>
      </c>
      <c r="M85" s="143">
        <v>0</v>
      </c>
      <c r="N85" s="169" t="s">
        <v>70</v>
      </c>
      <c r="O85" s="162" t="s">
        <v>70</v>
      </c>
      <c r="P85" s="162"/>
      <c r="Q85" s="162"/>
      <c r="R85" s="162"/>
      <c r="S85" s="162" t="s">
        <v>70</v>
      </c>
      <c r="T85" s="143" t="s">
        <v>70</v>
      </c>
      <c r="U85" s="143" t="s">
        <v>70</v>
      </c>
      <c r="V85" s="143" t="s">
        <v>70</v>
      </c>
      <c r="W85" s="143" t="s">
        <v>70</v>
      </c>
      <c r="X85" s="143" t="s">
        <v>70</v>
      </c>
      <c r="Y85" s="143" t="s">
        <v>70</v>
      </c>
      <c r="Z85" s="143"/>
      <c r="AA85" s="143" t="s">
        <v>70</v>
      </c>
      <c r="AB85" s="143" t="s">
        <v>70</v>
      </c>
      <c r="AC85" s="143" t="s">
        <v>70</v>
      </c>
      <c r="AD85" s="303"/>
      <c r="AE85" s="343"/>
      <c r="AF85" s="88" t="s">
        <v>70</v>
      </c>
      <c r="AG85" s="88" t="s">
        <v>70</v>
      </c>
      <c r="AH85" s="88" t="s">
        <v>70</v>
      </c>
      <c r="AI85" s="116" t="s">
        <v>70</v>
      </c>
      <c r="AJ85" s="116" t="s">
        <v>70</v>
      </c>
      <c r="AK85" s="116" t="s">
        <v>70</v>
      </c>
      <c r="AL85" s="116" t="s">
        <v>70</v>
      </c>
      <c r="AM85" s="116" t="s">
        <v>70</v>
      </c>
      <c r="AN85" s="108" t="s">
        <v>178</v>
      </c>
      <c r="AO85" s="101" t="s">
        <v>179</v>
      </c>
      <c r="AP85" s="54"/>
    </row>
    <row r="86" spans="2:42" ht="43.15" customHeight="1" x14ac:dyDescent="0.2">
      <c r="B86" s="382"/>
      <c r="C86" s="378" t="s">
        <v>51</v>
      </c>
      <c r="D86" s="303"/>
      <c r="E86" s="91"/>
      <c r="F86" s="91"/>
      <c r="G86" s="334" t="s">
        <v>59</v>
      </c>
      <c r="H86" s="344">
        <v>0.05</v>
      </c>
      <c r="I86" s="334" t="s">
        <v>67</v>
      </c>
      <c r="J86" s="334">
        <v>0</v>
      </c>
      <c r="K86" s="334">
        <v>1</v>
      </c>
      <c r="L86" s="334" t="s">
        <v>69</v>
      </c>
      <c r="M86" s="430">
        <v>1</v>
      </c>
      <c r="N86" s="369">
        <f>+SUMPRODUCT(U86*Z86)</f>
        <v>0</v>
      </c>
      <c r="O86" s="294">
        <f>+SUMPRODUCT(W86)</f>
        <v>0</v>
      </c>
      <c r="P86" s="294"/>
      <c r="Q86" s="294"/>
      <c r="R86" s="294"/>
      <c r="S86" s="294">
        <f>+SUMPRODUCT(U86*Z86)</f>
        <v>0</v>
      </c>
      <c r="T86" s="304" t="s">
        <v>137</v>
      </c>
      <c r="U86" s="299">
        <v>1</v>
      </c>
      <c r="V86" s="299">
        <v>0</v>
      </c>
      <c r="W86" s="299">
        <v>0</v>
      </c>
      <c r="X86" s="299"/>
      <c r="Y86" s="299"/>
      <c r="Z86" s="299">
        <f>+SUMPRODUCT(V86:Y88)</f>
        <v>0</v>
      </c>
      <c r="AA86" s="304" t="s">
        <v>72</v>
      </c>
      <c r="AB86" s="304"/>
      <c r="AC86" s="304"/>
      <c r="AD86" s="303"/>
      <c r="AE86" s="343"/>
      <c r="AF86" s="91" t="s">
        <v>173</v>
      </c>
      <c r="AG86" s="91" t="s">
        <v>161</v>
      </c>
      <c r="AH86" s="70">
        <v>51300000</v>
      </c>
      <c r="AI86" s="93">
        <v>51300000</v>
      </c>
      <c r="AJ86" s="93">
        <v>0</v>
      </c>
      <c r="AK86" s="106">
        <f>+AJ86/AI86</f>
        <v>0</v>
      </c>
      <c r="AL86" s="93">
        <v>0</v>
      </c>
      <c r="AM86" s="107">
        <f>+AL86/AI86</f>
        <v>0</v>
      </c>
      <c r="AN86" s="108" t="s">
        <v>178</v>
      </c>
      <c r="AO86" s="101" t="s">
        <v>179</v>
      </c>
      <c r="AP86" s="91"/>
    </row>
    <row r="87" spans="2:42" ht="43.15" customHeight="1" x14ac:dyDescent="0.2">
      <c r="B87" s="382"/>
      <c r="C87" s="382"/>
      <c r="D87" s="303"/>
      <c r="E87" s="91"/>
      <c r="F87" s="91"/>
      <c r="G87" s="386"/>
      <c r="H87" s="343"/>
      <c r="I87" s="386"/>
      <c r="J87" s="386"/>
      <c r="K87" s="386"/>
      <c r="L87" s="386"/>
      <c r="M87" s="432"/>
      <c r="N87" s="439"/>
      <c r="O87" s="295"/>
      <c r="P87" s="295"/>
      <c r="Q87" s="295"/>
      <c r="R87" s="295"/>
      <c r="S87" s="295"/>
      <c r="T87" s="305"/>
      <c r="U87" s="303"/>
      <c r="V87" s="303"/>
      <c r="W87" s="303"/>
      <c r="X87" s="303"/>
      <c r="Y87" s="303"/>
      <c r="Z87" s="303"/>
      <c r="AA87" s="305"/>
      <c r="AB87" s="305"/>
      <c r="AC87" s="305"/>
      <c r="AD87" s="303"/>
      <c r="AE87" s="343"/>
      <c r="AF87" s="91" t="s">
        <v>829</v>
      </c>
      <c r="AG87" s="91" t="s">
        <v>830</v>
      </c>
      <c r="AH87" s="70">
        <v>0</v>
      </c>
      <c r="AI87" s="93">
        <v>406859568.88999999</v>
      </c>
      <c r="AJ87" s="93"/>
      <c r="AK87" s="106">
        <f>+AJ87/AI87</f>
        <v>0</v>
      </c>
      <c r="AL87" s="93"/>
      <c r="AM87" s="107">
        <f>+AL87/AI87</f>
        <v>0</v>
      </c>
      <c r="AN87" s="108"/>
      <c r="AO87" s="101"/>
      <c r="AP87" s="91"/>
    </row>
    <row r="88" spans="2:42" ht="38.25" x14ac:dyDescent="0.2">
      <c r="B88" s="382"/>
      <c r="C88" s="379"/>
      <c r="D88" s="303"/>
      <c r="E88" s="54"/>
      <c r="F88" s="54"/>
      <c r="G88" s="335"/>
      <c r="H88" s="345"/>
      <c r="I88" s="335"/>
      <c r="J88" s="335"/>
      <c r="K88" s="335"/>
      <c r="L88" s="335"/>
      <c r="M88" s="431"/>
      <c r="N88" s="370"/>
      <c r="O88" s="296"/>
      <c r="P88" s="296"/>
      <c r="Q88" s="296"/>
      <c r="R88" s="296"/>
      <c r="S88" s="296"/>
      <c r="T88" s="306"/>
      <c r="U88" s="300">
        <v>1</v>
      </c>
      <c r="V88" s="300"/>
      <c r="W88" s="300"/>
      <c r="X88" s="300"/>
      <c r="Y88" s="300"/>
      <c r="Z88" s="300"/>
      <c r="AA88" s="306" t="s">
        <v>72</v>
      </c>
      <c r="AB88" s="306"/>
      <c r="AC88" s="306"/>
      <c r="AD88" s="303"/>
      <c r="AE88" s="343"/>
      <c r="AF88" s="139" t="s">
        <v>172</v>
      </c>
      <c r="AG88" s="54" t="s">
        <v>163</v>
      </c>
      <c r="AH88" s="70">
        <v>0</v>
      </c>
      <c r="AI88" s="93">
        <v>19885300</v>
      </c>
      <c r="AJ88" s="93">
        <v>0</v>
      </c>
      <c r="AK88" s="106">
        <f t="shared" si="6"/>
        <v>0</v>
      </c>
      <c r="AL88" s="93">
        <v>0</v>
      </c>
      <c r="AM88" s="107">
        <f t="shared" si="7"/>
        <v>0</v>
      </c>
      <c r="AN88" s="108" t="s">
        <v>178</v>
      </c>
      <c r="AO88" s="101" t="s">
        <v>179</v>
      </c>
      <c r="AP88" s="54"/>
    </row>
    <row r="89" spans="2:42" ht="30" x14ac:dyDescent="0.2">
      <c r="B89" s="382"/>
      <c r="C89" s="378" t="s">
        <v>51</v>
      </c>
      <c r="D89" s="303"/>
      <c r="E89" s="54"/>
      <c r="F89" s="54"/>
      <c r="G89" s="334" t="s">
        <v>60</v>
      </c>
      <c r="H89" s="344">
        <v>0.1</v>
      </c>
      <c r="I89" s="334" t="s">
        <v>67</v>
      </c>
      <c r="J89" s="334">
        <v>0</v>
      </c>
      <c r="K89" s="334">
        <v>1</v>
      </c>
      <c r="L89" s="334" t="s">
        <v>69</v>
      </c>
      <c r="M89" s="430">
        <v>0</v>
      </c>
      <c r="N89" s="369" t="s">
        <v>70</v>
      </c>
      <c r="O89" s="294" t="s">
        <v>70</v>
      </c>
      <c r="P89" s="294" t="s">
        <v>70</v>
      </c>
      <c r="Q89" s="294" t="s">
        <v>70</v>
      </c>
      <c r="R89" s="294" t="s">
        <v>70</v>
      </c>
      <c r="S89" s="294" t="s">
        <v>70</v>
      </c>
      <c r="T89" s="334" t="s">
        <v>70</v>
      </c>
      <c r="U89" s="334" t="s">
        <v>70</v>
      </c>
      <c r="V89" s="334" t="s">
        <v>70</v>
      </c>
      <c r="W89" s="334" t="s">
        <v>70</v>
      </c>
      <c r="X89" s="334" t="s">
        <v>70</v>
      </c>
      <c r="Y89" s="334" t="s">
        <v>70</v>
      </c>
      <c r="Z89" s="171"/>
      <c r="AA89" s="334" t="s">
        <v>70</v>
      </c>
      <c r="AB89" s="334" t="s">
        <v>70</v>
      </c>
      <c r="AC89" s="334" t="s">
        <v>70</v>
      </c>
      <c r="AD89" s="303"/>
      <c r="AE89" s="343"/>
      <c r="AF89" s="304" t="s">
        <v>70</v>
      </c>
      <c r="AG89" s="304" t="s">
        <v>70</v>
      </c>
      <c r="AH89" s="304" t="s">
        <v>70</v>
      </c>
      <c r="AI89" s="338" t="s">
        <v>70</v>
      </c>
      <c r="AJ89" s="338" t="s">
        <v>70</v>
      </c>
      <c r="AK89" s="338" t="s">
        <v>70</v>
      </c>
      <c r="AL89" s="338" t="s">
        <v>70</v>
      </c>
      <c r="AM89" s="338" t="s">
        <v>70</v>
      </c>
      <c r="AN89" s="108" t="s">
        <v>178</v>
      </c>
      <c r="AO89" s="101" t="s">
        <v>179</v>
      </c>
      <c r="AP89" s="304"/>
    </row>
    <row r="90" spans="2:42" ht="30" x14ac:dyDescent="0.2">
      <c r="B90" s="382"/>
      <c r="C90" s="379"/>
      <c r="D90" s="303"/>
      <c r="E90" s="54"/>
      <c r="F90" s="54"/>
      <c r="G90" s="335"/>
      <c r="H90" s="345"/>
      <c r="I90" s="335"/>
      <c r="J90" s="335"/>
      <c r="K90" s="335"/>
      <c r="L90" s="335"/>
      <c r="M90" s="431"/>
      <c r="N90" s="370"/>
      <c r="O90" s="296"/>
      <c r="P90" s="296"/>
      <c r="Q90" s="296"/>
      <c r="R90" s="296"/>
      <c r="S90" s="296"/>
      <c r="T90" s="335"/>
      <c r="U90" s="335"/>
      <c r="V90" s="335"/>
      <c r="W90" s="335"/>
      <c r="X90" s="335"/>
      <c r="Y90" s="335"/>
      <c r="Z90" s="172"/>
      <c r="AA90" s="335"/>
      <c r="AB90" s="335"/>
      <c r="AC90" s="335"/>
      <c r="AD90" s="303"/>
      <c r="AE90" s="343"/>
      <c r="AF90" s="306"/>
      <c r="AG90" s="306"/>
      <c r="AH90" s="306"/>
      <c r="AI90" s="341"/>
      <c r="AJ90" s="341"/>
      <c r="AK90" s="341"/>
      <c r="AL90" s="341"/>
      <c r="AM90" s="341"/>
      <c r="AN90" s="108" t="s">
        <v>178</v>
      </c>
      <c r="AO90" s="101" t="s">
        <v>179</v>
      </c>
      <c r="AP90" s="306"/>
    </row>
    <row r="91" spans="2:42" ht="51" x14ac:dyDescent="0.2">
      <c r="B91" s="382"/>
      <c r="C91" s="53" t="s">
        <v>51</v>
      </c>
      <c r="D91" s="303"/>
      <c r="E91" s="54"/>
      <c r="F91" s="54"/>
      <c r="G91" s="143" t="s">
        <v>61</v>
      </c>
      <c r="H91" s="155">
        <v>0.1</v>
      </c>
      <c r="I91" s="143" t="s">
        <v>67</v>
      </c>
      <c r="J91" s="143">
        <v>0</v>
      </c>
      <c r="K91" s="143">
        <v>1</v>
      </c>
      <c r="L91" s="143" t="s">
        <v>69</v>
      </c>
      <c r="M91" s="143">
        <v>0</v>
      </c>
      <c r="N91" s="169" t="s">
        <v>70</v>
      </c>
      <c r="O91" s="162" t="s">
        <v>70</v>
      </c>
      <c r="P91" s="162"/>
      <c r="Q91" s="162"/>
      <c r="R91" s="162"/>
      <c r="S91" s="162" t="s">
        <v>70</v>
      </c>
      <c r="T91" s="143" t="s">
        <v>70</v>
      </c>
      <c r="U91" s="143" t="s">
        <v>70</v>
      </c>
      <c r="V91" s="143" t="s">
        <v>70</v>
      </c>
      <c r="W91" s="143" t="s">
        <v>70</v>
      </c>
      <c r="X91" s="143" t="s">
        <v>70</v>
      </c>
      <c r="Y91" s="143" t="s">
        <v>70</v>
      </c>
      <c r="Z91" s="143"/>
      <c r="AA91" s="143" t="s">
        <v>70</v>
      </c>
      <c r="AB91" s="143" t="s">
        <v>70</v>
      </c>
      <c r="AC91" s="143" t="s">
        <v>70</v>
      </c>
      <c r="AD91" s="303"/>
      <c r="AE91" s="343"/>
      <c r="AF91" s="88" t="s">
        <v>70</v>
      </c>
      <c r="AG91" s="88" t="s">
        <v>70</v>
      </c>
      <c r="AH91" s="88" t="s">
        <v>70</v>
      </c>
      <c r="AI91" s="116" t="s">
        <v>70</v>
      </c>
      <c r="AJ91" s="116" t="s">
        <v>70</v>
      </c>
      <c r="AK91" s="116" t="s">
        <v>70</v>
      </c>
      <c r="AL91" s="116" t="s">
        <v>70</v>
      </c>
      <c r="AM91" s="116" t="s">
        <v>70</v>
      </c>
      <c r="AN91" s="108" t="s">
        <v>178</v>
      </c>
      <c r="AO91" s="101" t="s">
        <v>179</v>
      </c>
      <c r="AP91" s="54"/>
    </row>
    <row r="92" spans="2:42" ht="13.15" customHeight="1" x14ac:dyDescent="0.2">
      <c r="B92" s="382"/>
      <c r="C92" s="378" t="s">
        <v>51</v>
      </c>
      <c r="D92" s="303"/>
      <c r="E92" s="54"/>
      <c r="F92" s="54"/>
      <c r="G92" s="304" t="s">
        <v>62</v>
      </c>
      <c r="H92" s="299">
        <v>0.1</v>
      </c>
      <c r="I92" s="304" t="s">
        <v>67</v>
      </c>
      <c r="J92" s="304">
        <v>0</v>
      </c>
      <c r="K92" s="304">
        <v>1</v>
      </c>
      <c r="L92" s="304" t="s">
        <v>69</v>
      </c>
      <c r="M92" s="304">
        <v>1</v>
      </c>
      <c r="N92" s="371">
        <f>+SUMPRODUCT(U92*Z92)</f>
        <v>0.33</v>
      </c>
      <c r="O92" s="517">
        <f>+SUMPRODUCT(W92)</f>
        <v>0.33</v>
      </c>
      <c r="P92" s="289"/>
      <c r="Q92" s="289"/>
      <c r="R92" s="289"/>
      <c r="S92" s="289">
        <f>+SUMPRODUCT(U92*Z92)</f>
        <v>0.33</v>
      </c>
      <c r="T92" s="360" t="s">
        <v>138</v>
      </c>
      <c r="U92" s="299">
        <v>1</v>
      </c>
      <c r="V92" s="299">
        <v>0</v>
      </c>
      <c r="W92" s="299">
        <v>0.33</v>
      </c>
      <c r="X92" s="299"/>
      <c r="Y92" s="299"/>
      <c r="Z92" s="299">
        <f>+SUMPRODUCT(V92:Y94)</f>
        <v>0.33</v>
      </c>
      <c r="AA92" s="304" t="s">
        <v>72</v>
      </c>
      <c r="AB92" s="304" t="s">
        <v>804</v>
      </c>
      <c r="AC92" s="304" t="s">
        <v>805</v>
      </c>
      <c r="AD92" s="303"/>
      <c r="AE92" s="343"/>
      <c r="AF92" s="304" t="s">
        <v>828</v>
      </c>
      <c r="AG92" s="304" t="s">
        <v>825</v>
      </c>
      <c r="AH92" s="304">
        <v>0</v>
      </c>
      <c r="AI92" s="319">
        <v>300000000</v>
      </c>
      <c r="AJ92" s="338">
        <v>0</v>
      </c>
      <c r="AK92" s="463">
        <v>0</v>
      </c>
      <c r="AL92" s="338">
        <v>0</v>
      </c>
      <c r="AM92" s="463">
        <v>0</v>
      </c>
      <c r="AN92" s="108" t="s">
        <v>178</v>
      </c>
      <c r="AO92" s="101" t="s">
        <v>179</v>
      </c>
      <c r="AP92" s="304"/>
    </row>
    <row r="93" spans="2:42" ht="30" x14ac:dyDescent="0.2">
      <c r="B93" s="382"/>
      <c r="C93" s="382"/>
      <c r="D93" s="303"/>
      <c r="E93" s="54"/>
      <c r="F93" s="54"/>
      <c r="G93" s="305"/>
      <c r="H93" s="303"/>
      <c r="I93" s="305"/>
      <c r="J93" s="305"/>
      <c r="K93" s="305"/>
      <c r="L93" s="305"/>
      <c r="M93" s="305"/>
      <c r="N93" s="367"/>
      <c r="O93" s="518"/>
      <c r="P93" s="290"/>
      <c r="Q93" s="290"/>
      <c r="R93" s="290"/>
      <c r="S93" s="290"/>
      <c r="T93" s="365"/>
      <c r="U93" s="303"/>
      <c r="V93" s="303"/>
      <c r="W93" s="303"/>
      <c r="X93" s="303"/>
      <c r="Y93" s="303"/>
      <c r="Z93" s="303"/>
      <c r="AA93" s="305"/>
      <c r="AB93" s="305"/>
      <c r="AC93" s="305"/>
      <c r="AD93" s="303"/>
      <c r="AE93" s="343"/>
      <c r="AF93" s="305"/>
      <c r="AG93" s="305"/>
      <c r="AH93" s="305"/>
      <c r="AI93" s="320"/>
      <c r="AJ93" s="339"/>
      <c r="AK93" s="464"/>
      <c r="AL93" s="339"/>
      <c r="AM93" s="464"/>
      <c r="AN93" s="108" t="s">
        <v>178</v>
      </c>
      <c r="AO93" s="101" t="s">
        <v>179</v>
      </c>
      <c r="AP93" s="305"/>
    </row>
    <row r="94" spans="2:42" ht="30.75" thickBot="1" x14ac:dyDescent="0.25">
      <c r="B94" s="382"/>
      <c r="C94" s="379"/>
      <c r="D94" s="300"/>
      <c r="E94" s="54"/>
      <c r="F94" s="54"/>
      <c r="G94" s="305"/>
      <c r="H94" s="303"/>
      <c r="I94" s="336"/>
      <c r="J94" s="336"/>
      <c r="K94" s="336"/>
      <c r="L94" s="305"/>
      <c r="M94" s="305"/>
      <c r="N94" s="372"/>
      <c r="O94" s="520"/>
      <c r="P94" s="373"/>
      <c r="Q94" s="373"/>
      <c r="R94" s="373"/>
      <c r="S94" s="373"/>
      <c r="T94" s="365"/>
      <c r="U94" s="303"/>
      <c r="V94" s="303"/>
      <c r="W94" s="303"/>
      <c r="X94" s="303"/>
      <c r="Y94" s="303"/>
      <c r="Z94" s="300"/>
      <c r="AA94" s="305"/>
      <c r="AB94" s="305"/>
      <c r="AC94" s="305"/>
      <c r="AD94" s="300"/>
      <c r="AE94" s="345"/>
      <c r="AF94" s="336"/>
      <c r="AG94" s="336"/>
      <c r="AH94" s="336"/>
      <c r="AI94" s="337"/>
      <c r="AJ94" s="340"/>
      <c r="AK94" s="465"/>
      <c r="AL94" s="340"/>
      <c r="AM94" s="465"/>
      <c r="AN94" s="108" t="s">
        <v>178</v>
      </c>
      <c r="AO94" s="101" t="s">
        <v>179</v>
      </c>
      <c r="AP94" s="336"/>
    </row>
    <row r="95" spans="2:42" ht="30" x14ac:dyDescent="0.2">
      <c r="B95" s="382"/>
      <c r="C95" s="378" t="s">
        <v>63</v>
      </c>
      <c r="D95" s="299">
        <v>0.2</v>
      </c>
      <c r="E95" s="54"/>
      <c r="F95" s="55"/>
      <c r="G95" s="380" t="s">
        <v>64</v>
      </c>
      <c r="H95" s="375">
        <v>0.35</v>
      </c>
      <c r="I95" s="377" t="s">
        <v>67</v>
      </c>
      <c r="J95" s="377">
        <v>4</v>
      </c>
      <c r="K95" s="377">
        <v>5</v>
      </c>
      <c r="L95" s="377" t="s">
        <v>69</v>
      </c>
      <c r="M95" s="377">
        <v>1</v>
      </c>
      <c r="N95" s="366">
        <f>+SUMPRODUCT(U96*Z96)</f>
        <v>0.6</v>
      </c>
      <c r="O95" s="521">
        <f>+SUMPRODUCT(W95)</f>
        <v>0.5</v>
      </c>
      <c r="P95" s="364"/>
      <c r="Q95" s="364"/>
      <c r="R95" s="364"/>
      <c r="S95" s="364">
        <f>+SUMPRODUCT(U95*Z95)</f>
        <v>0.6</v>
      </c>
      <c r="T95" s="82" t="s">
        <v>139</v>
      </c>
      <c r="U95" s="57">
        <v>1</v>
      </c>
      <c r="V95" s="57">
        <f>+SUMPRODUCT($U$96*V96)</f>
        <v>0.1</v>
      </c>
      <c r="W95" s="173">
        <f t="shared" ref="W95:Y95" si="8">+SUMPRODUCT($U$96*W96)</f>
        <v>0.5</v>
      </c>
      <c r="X95" s="173">
        <f t="shared" si="8"/>
        <v>0</v>
      </c>
      <c r="Y95" s="173">
        <f t="shared" si="8"/>
        <v>0</v>
      </c>
      <c r="Z95" s="173">
        <f>+SUMPRODUCT(V95:Y95)</f>
        <v>0.6</v>
      </c>
      <c r="AA95" s="53"/>
      <c r="AB95" s="82"/>
      <c r="AC95" s="82"/>
      <c r="AD95" s="404" t="s">
        <v>156</v>
      </c>
      <c r="AE95" s="344" t="s">
        <v>201</v>
      </c>
      <c r="AF95" s="61" t="s">
        <v>70</v>
      </c>
      <c r="AG95" s="61" t="s">
        <v>70</v>
      </c>
      <c r="AH95" s="61" t="s">
        <v>70</v>
      </c>
      <c r="AI95" s="117" t="s">
        <v>70</v>
      </c>
      <c r="AJ95" s="117" t="s">
        <v>70</v>
      </c>
      <c r="AK95" s="117" t="s">
        <v>70</v>
      </c>
      <c r="AL95" s="117" t="s">
        <v>70</v>
      </c>
      <c r="AM95" s="117" t="s">
        <v>70</v>
      </c>
      <c r="AN95" s="108" t="s">
        <v>178</v>
      </c>
      <c r="AO95" s="101" t="s">
        <v>179</v>
      </c>
      <c r="AP95" s="61"/>
    </row>
    <row r="96" spans="2:42" ht="243" thickBot="1" x14ac:dyDescent="0.25">
      <c r="B96" s="382"/>
      <c r="C96" s="379"/>
      <c r="D96" s="303"/>
      <c r="E96" s="54"/>
      <c r="F96" s="55"/>
      <c r="G96" s="381"/>
      <c r="H96" s="376"/>
      <c r="I96" s="336"/>
      <c r="J96" s="336"/>
      <c r="K96" s="336"/>
      <c r="L96" s="336"/>
      <c r="M96" s="336"/>
      <c r="N96" s="372"/>
      <c r="O96" s="520"/>
      <c r="P96" s="373"/>
      <c r="Q96" s="373"/>
      <c r="R96" s="373"/>
      <c r="S96" s="373"/>
      <c r="T96" s="81" t="s">
        <v>140</v>
      </c>
      <c r="U96" s="56">
        <v>1</v>
      </c>
      <c r="V96" s="56">
        <v>0.1</v>
      </c>
      <c r="W96" s="56">
        <v>0.5</v>
      </c>
      <c r="X96" s="56"/>
      <c r="Y96" s="56"/>
      <c r="Z96" s="173">
        <f>+SUMPRODUCT(V96:Y96)</f>
        <v>0.6</v>
      </c>
      <c r="AA96" s="91" t="s">
        <v>72</v>
      </c>
      <c r="AB96" s="81" t="s">
        <v>816</v>
      </c>
      <c r="AC96" s="81" t="s">
        <v>188</v>
      </c>
      <c r="AD96" s="405"/>
      <c r="AE96" s="343"/>
      <c r="AF96" s="142" t="s">
        <v>174</v>
      </c>
      <c r="AG96" s="62" t="s">
        <v>159</v>
      </c>
      <c r="AH96" s="71">
        <v>104502197</v>
      </c>
      <c r="AI96" s="118">
        <v>104502197</v>
      </c>
      <c r="AJ96" s="118">
        <v>83000000</v>
      </c>
      <c r="AK96" s="119">
        <f t="shared" si="6"/>
        <v>0.79424167512956689</v>
      </c>
      <c r="AL96" s="159">
        <v>83000000</v>
      </c>
      <c r="AM96" s="120">
        <f t="shared" si="7"/>
        <v>0.79424167512956689</v>
      </c>
      <c r="AN96" s="108" t="s">
        <v>178</v>
      </c>
      <c r="AO96" s="101" t="s">
        <v>179</v>
      </c>
      <c r="AP96" s="62"/>
    </row>
    <row r="97" spans="2:42" ht="30" customHeight="1" x14ac:dyDescent="0.2">
      <c r="B97" s="382"/>
      <c r="C97" s="378" t="s">
        <v>63</v>
      </c>
      <c r="D97" s="303"/>
      <c r="E97" s="54"/>
      <c r="F97" s="54"/>
      <c r="G97" s="305" t="s">
        <v>65</v>
      </c>
      <c r="H97" s="303">
        <v>0.45</v>
      </c>
      <c r="I97" s="305" t="s">
        <v>67</v>
      </c>
      <c r="J97" s="305">
        <v>3</v>
      </c>
      <c r="K97" s="305">
        <v>3</v>
      </c>
      <c r="L97" s="305" t="s">
        <v>68</v>
      </c>
      <c r="M97" s="305">
        <v>3</v>
      </c>
      <c r="N97" s="366">
        <f>+SUMPRODUCT(U97*Z97+U100*Z100+U106*Z106)*M97</f>
        <v>1.1520818181818182</v>
      </c>
      <c r="O97" s="521">
        <f>+SUMPRODUCT(U97*W97)+(U100*W100)+(U106*W106)</f>
        <v>0.30230000000000001</v>
      </c>
      <c r="P97" s="364"/>
      <c r="Q97" s="364"/>
      <c r="R97" s="364"/>
      <c r="S97" s="364">
        <f>+SUMPRODUCT(U97*Z97)+(U100*Z100)+(U106*Z106)</f>
        <v>0.38402727272727272</v>
      </c>
      <c r="T97" s="275" t="s">
        <v>141</v>
      </c>
      <c r="U97" s="276">
        <v>0.35</v>
      </c>
      <c r="V97" s="276">
        <f>+V98*U98+V99*U99</f>
        <v>0.1</v>
      </c>
      <c r="W97" s="276">
        <f>+SUMPRODUCT(W98:W99)</f>
        <v>0.22</v>
      </c>
      <c r="X97" s="276"/>
      <c r="Y97" s="276"/>
      <c r="Z97" s="269">
        <f>+SUMPRODUCT(V97:Y97)</f>
        <v>0.32</v>
      </c>
      <c r="AA97" s="90"/>
      <c r="AB97" s="83"/>
      <c r="AC97" s="83"/>
      <c r="AD97" s="303"/>
      <c r="AE97" s="343"/>
      <c r="AF97" s="448" t="s">
        <v>177</v>
      </c>
      <c r="AG97" s="448" t="s">
        <v>163</v>
      </c>
      <c r="AH97" s="457">
        <v>0</v>
      </c>
      <c r="AI97" s="400">
        <v>363000000</v>
      </c>
      <c r="AJ97" s="400">
        <v>167000000</v>
      </c>
      <c r="AK97" s="403">
        <f t="shared" si="6"/>
        <v>0.46005509641873277</v>
      </c>
      <c r="AL97" s="400">
        <v>167000000</v>
      </c>
      <c r="AM97" s="462">
        <f t="shared" si="7"/>
        <v>0.46005509641873277</v>
      </c>
      <c r="AN97" s="108" t="s">
        <v>178</v>
      </c>
      <c r="AO97" s="101" t="s">
        <v>179</v>
      </c>
      <c r="AP97" s="63"/>
    </row>
    <row r="98" spans="2:42" ht="255" x14ac:dyDescent="0.2">
      <c r="B98" s="382"/>
      <c r="C98" s="382"/>
      <c r="D98" s="303"/>
      <c r="E98" s="54"/>
      <c r="F98" s="54"/>
      <c r="G98" s="305"/>
      <c r="H98" s="303"/>
      <c r="I98" s="305"/>
      <c r="J98" s="305"/>
      <c r="K98" s="305"/>
      <c r="L98" s="305"/>
      <c r="M98" s="305"/>
      <c r="N98" s="367"/>
      <c r="O98" s="518"/>
      <c r="P98" s="290"/>
      <c r="Q98" s="290"/>
      <c r="R98" s="290"/>
      <c r="S98" s="290"/>
      <c r="T98" s="81" t="s">
        <v>142</v>
      </c>
      <c r="U98" s="56">
        <v>0.5</v>
      </c>
      <c r="V98" s="56">
        <v>0.1</v>
      </c>
      <c r="W98" s="56">
        <v>0.22</v>
      </c>
      <c r="X98" s="56"/>
      <c r="Y98" s="56"/>
      <c r="Z98" s="173">
        <f t="shared" ref="Z98:Z99" si="9">+SUMPRODUCT(V98:Y98)</f>
        <v>0.32</v>
      </c>
      <c r="AA98" s="91" t="s">
        <v>72</v>
      </c>
      <c r="AB98" s="81" t="s">
        <v>817</v>
      </c>
      <c r="AC98" s="81" t="s">
        <v>188</v>
      </c>
      <c r="AD98" s="303"/>
      <c r="AE98" s="343"/>
      <c r="AF98" s="449"/>
      <c r="AG98" s="449"/>
      <c r="AH98" s="458"/>
      <c r="AI98" s="401"/>
      <c r="AJ98" s="401"/>
      <c r="AK98" s="333"/>
      <c r="AL98" s="401"/>
      <c r="AM98" s="317"/>
      <c r="AN98" s="108" t="s">
        <v>178</v>
      </c>
      <c r="AO98" s="101" t="s">
        <v>179</v>
      </c>
      <c r="AP98" s="63"/>
    </row>
    <row r="99" spans="2:42" ht="89.25" x14ac:dyDescent="0.2">
      <c r="B99" s="382"/>
      <c r="C99" s="382"/>
      <c r="D99" s="303"/>
      <c r="E99" s="54"/>
      <c r="F99" s="54"/>
      <c r="G99" s="305"/>
      <c r="H99" s="303"/>
      <c r="I99" s="305"/>
      <c r="J99" s="305"/>
      <c r="K99" s="305"/>
      <c r="L99" s="305"/>
      <c r="M99" s="305"/>
      <c r="N99" s="367"/>
      <c r="O99" s="518"/>
      <c r="P99" s="290"/>
      <c r="Q99" s="290"/>
      <c r="R99" s="290"/>
      <c r="S99" s="290"/>
      <c r="T99" s="81" t="s">
        <v>143</v>
      </c>
      <c r="U99" s="56">
        <v>0.5</v>
      </c>
      <c r="V99" s="56">
        <v>0.1</v>
      </c>
      <c r="W99" s="56">
        <v>0</v>
      </c>
      <c r="X99" s="56"/>
      <c r="Y99" s="56"/>
      <c r="Z99" s="173">
        <f t="shared" si="9"/>
        <v>0.1</v>
      </c>
      <c r="AA99" s="91" t="s">
        <v>72</v>
      </c>
      <c r="AB99" s="81" t="s">
        <v>818</v>
      </c>
      <c r="AC99" s="81" t="s">
        <v>188</v>
      </c>
      <c r="AD99" s="303"/>
      <c r="AE99" s="343"/>
      <c r="AF99" s="449"/>
      <c r="AG99" s="449"/>
      <c r="AH99" s="458"/>
      <c r="AI99" s="401"/>
      <c r="AJ99" s="401"/>
      <c r="AK99" s="333"/>
      <c r="AL99" s="401"/>
      <c r="AM99" s="317"/>
      <c r="AN99" s="108" t="s">
        <v>178</v>
      </c>
      <c r="AO99" s="101" t="s">
        <v>179</v>
      </c>
      <c r="AP99" s="313"/>
    </row>
    <row r="100" spans="2:42" ht="30" x14ac:dyDescent="0.2">
      <c r="B100" s="382"/>
      <c r="C100" s="382"/>
      <c r="D100" s="303"/>
      <c r="E100" s="54"/>
      <c r="F100" s="54"/>
      <c r="G100" s="305"/>
      <c r="H100" s="303"/>
      <c r="I100" s="305"/>
      <c r="J100" s="305"/>
      <c r="K100" s="305"/>
      <c r="L100" s="305"/>
      <c r="M100" s="305"/>
      <c r="N100" s="367"/>
      <c r="O100" s="518"/>
      <c r="P100" s="290"/>
      <c r="Q100" s="290"/>
      <c r="R100" s="290"/>
      <c r="S100" s="290"/>
      <c r="T100" s="267" t="s">
        <v>144</v>
      </c>
      <c r="U100" s="269">
        <v>0.4</v>
      </c>
      <c r="V100" s="269">
        <f>+V101*U101+V102*U102+V103*U103+V104*U104+V105*U105</f>
        <v>0.06</v>
      </c>
      <c r="W100" s="269">
        <f>+W101*U101+W102*U102+W103*U103+W104*U104+W105*U105</f>
        <v>0.28200000000000003</v>
      </c>
      <c r="X100" s="269">
        <f t="shared" ref="X100:Y100" si="10">+X101*W101+X102*W102+X103*W103+X104*W104+X105*W105</f>
        <v>0</v>
      </c>
      <c r="Y100" s="269">
        <f t="shared" si="10"/>
        <v>0</v>
      </c>
      <c r="Z100" s="269">
        <f>+SUMPRODUCT(V100:Y100)</f>
        <v>0.34200000000000003</v>
      </c>
      <c r="AA100" s="53"/>
      <c r="AB100" s="82"/>
      <c r="AC100" s="82"/>
      <c r="AD100" s="303"/>
      <c r="AE100" s="343"/>
      <c r="AF100" s="449"/>
      <c r="AG100" s="449"/>
      <c r="AH100" s="458"/>
      <c r="AI100" s="401"/>
      <c r="AJ100" s="401"/>
      <c r="AK100" s="333"/>
      <c r="AL100" s="401"/>
      <c r="AM100" s="317"/>
      <c r="AN100" s="108" t="s">
        <v>178</v>
      </c>
      <c r="AO100" s="101" t="s">
        <v>179</v>
      </c>
      <c r="AP100" s="314"/>
    </row>
    <row r="101" spans="2:42" ht="48.6" customHeight="1" x14ac:dyDescent="0.2">
      <c r="B101" s="382"/>
      <c r="C101" s="382"/>
      <c r="D101" s="303"/>
      <c r="E101" s="54"/>
      <c r="F101" s="54"/>
      <c r="G101" s="305"/>
      <c r="H101" s="303"/>
      <c r="I101" s="305"/>
      <c r="J101" s="305"/>
      <c r="K101" s="305"/>
      <c r="L101" s="305"/>
      <c r="M101" s="305"/>
      <c r="N101" s="367"/>
      <c r="O101" s="518"/>
      <c r="P101" s="290"/>
      <c r="Q101" s="290"/>
      <c r="R101" s="290"/>
      <c r="S101" s="290"/>
      <c r="T101" s="81" t="s">
        <v>145</v>
      </c>
      <c r="U101" s="56">
        <v>0.3</v>
      </c>
      <c r="V101" s="56">
        <v>0.1</v>
      </c>
      <c r="W101" s="56">
        <v>0.22</v>
      </c>
      <c r="X101" s="56"/>
      <c r="Y101" s="56"/>
      <c r="Z101" s="173">
        <f>+SUMPRODUCT(V101:Y101*U101)</f>
        <v>9.6000000000000002E-2</v>
      </c>
      <c r="AA101" s="91" t="s">
        <v>72</v>
      </c>
      <c r="AB101" s="81" t="s">
        <v>819</v>
      </c>
      <c r="AC101" s="81" t="s">
        <v>188</v>
      </c>
      <c r="AD101" s="303"/>
      <c r="AE101" s="343"/>
      <c r="AF101" s="449"/>
      <c r="AG101" s="449"/>
      <c r="AH101" s="458"/>
      <c r="AI101" s="401"/>
      <c r="AJ101" s="401"/>
      <c r="AK101" s="333"/>
      <c r="AL101" s="401"/>
      <c r="AM101" s="317"/>
      <c r="AN101" s="108" t="s">
        <v>178</v>
      </c>
      <c r="AO101" s="101" t="s">
        <v>179</v>
      </c>
      <c r="AP101" s="315"/>
    </row>
    <row r="102" spans="2:42" ht="48.6" customHeight="1" x14ac:dyDescent="0.2">
      <c r="B102" s="382"/>
      <c r="C102" s="382"/>
      <c r="D102" s="303"/>
      <c r="E102" s="54"/>
      <c r="F102" s="54"/>
      <c r="G102" s="305"/>
      <c r="H102" s="303"/>
      <c r="I102" s="305"/>
      <c r="J102" s="305"/>
      <c r="K102" s="305"/>
      <c r="L102" s="305"/>
      <c r="M102" s="305"/>
      <c r="N102" s="367"/>
      <c r="O102" s="518"/>
      <c r="P102" s="290"/>
      <c r="Q102" s="290"/>
      <c r="R102" s="290"/>
      <c r="S102" s="290"/>
      <c r="T102" s="81" t="s">
        <v>146</v>
      </c>
      <c r="U102" s="56">
        <v>0.3</v>
      </c>
      <c r="V102" s="56">
        <v>0.1</v>
      </c>
      <c r="W102" s="56">
        <v>0.22</v>
      </c>
      <c r="X102" s="56"/>
      <c r="Y102" s="56"/>
      <c r="Z102" s="173">
        <f>+SUMPRODUCT(V102:Y102*U102)</f>
        <v>9.6000000000000002E-2</v>
      </c>
      <c r="AA102" s="91" t="s">
        <v>72</v>
      </c>
      <c r="AB102" s="81" t="s">
        <v>820</v>
      </c>
      <c r="AC102" s="81" t="s">
        <v>188</v>
      </c>
      <c r="AD102" s="303"/>
      <c r="AE102" s="343"/>
      <c r="AF102" s="349"/>
      <c r="AG102" s="349"/>
      <c r="AH102" s="459"/>
      <c r="AI102" s="402"/>
      <c r="AJ102" s="402"/>
      <c r="AK102" s="347"/>
      <c r="AL102" s="402"/>
      <c r="AM102" s="318"/>
      <c r="AN102" s="108" t="s">
        <v>178</v>
      </c>
      <c r="AO102" s="101" t="s">
        <v>179</v>
      </c>
      <c r="AP102" s="64"/>
    </row>
    <row r="103" spans="2:42" ht="48.6" customHeight="1" x14ac:dyDescent="0.2">
      <c r="B103" s="382"/>
      <c r="C103" s="382"/>
      <c r="D103" s="303"/>
      <c r="E103" s="54"/>
      <c r="F103" s="54"/>
      <c r="G103" s="305"/>
      <c r="H103" s="303"/>
      <c r="I103" s="305"/>
      <c r="J103" s="305"/>
      <c r="K103" s="305"/>
      <c r="L103" s="305"/>
      <c r="M103" s="305"/>
      <c r="N103" s="367"/>
      <c r="O103" s="518"/>
      <c r="P103" s="290"/>
      <c r="Q103" s="290"/>
      <c r="R103" s="290"/>
      <c r="S103" s="290"/>
      <c r="T103" s="81" t="s">
        <v>147</v>
      </c>
      <c r="U103" s="56">
        <v>0.15</v>
      </c>
      <c r="V103" s="56">
        <v>0</v>
      </c>
      <c r="W103" s="56">
        <v>0</v>
      </c>
      <c r="X103" s="56"/>
      <c r="Y103" s="56"/>
      <c r="Z103" s="173">
        <f>+SUMPRODUCT(V103:Y103*U103)</f>
        <v>0</v>
      </c>
      <c r="AA103" s="91" t="s">
        <v>72</v>
      </c>
      <c r="AB103" s="81"/>
      <c r="AC103" s="81"/>
      <c r="AD103" s="303"/>
      <c r="AE103" s="343"/>
      <c r="AF103" s="144" t="s">
        <v>175</v>
      </c>
      <c r="AG103" s="64" t="s">
        <v>176</v>
      </c>
      <c r="AH103" s="156">
        <v>9000000</v>
      </c>
      <c r="AI103" s="97">
        <v>9000000</v>
      </c>
      <c r="AJ103" s="110">
        <v>0</v>
      </c>
      <c r="AK103" s="106">
        <f t="shared" si="6"/>
        <v>0</v>
      </c>
      <c r="AL103" s="110"/>
      <c r="AM103" s="107">
        <f t="shared" si="7"/>
        <v>0</v>
      </c>
      <c r="AN103" s="108" t="s">
        <v>178</v>
      </c>
      <c r="AO103" s="101" t="s">
        <v>179</v>
      </c>
      <c r="AP103" s="64"/>
    </row>
    <row r="104" spans="2:42" ht="48.6" customHeight="1" x14ac:dyDescent="0.2">
      <c r="B104" s="382"/>
      <c r="C104" s="382"/>
      <c r="D104" s="303"/>
      <c r="E104" s="54"/>
      <c r="F104" s="54"/>
      <c r="G104" s="305"/>
      <c r="H104" s="303"/>
      <c r="I104" s="305"/>
      <c r="J104" s="305"/>
      <c r="K104" s="305"/>
      <c r="L104" s="305"/>
      <c r="M104" s="305"/>
      <c r="N104" s="367"/>
      <c r="O104" s="518"/>
      <c r="P104" s="290"/>
      <c r="Q104" s="290"/>
      <c r="R104" s="290"/>
      <c r="S104" s="290"/>
      <c r="T104" s="81" t="s">
        <v>148</v>
      </c>
      <c r="U104" s="56">
        <v>0.15</v>
      </c>
      <c r="V104" s="56">
        <v>0</v>
      </c>
      <c r="W104" s="56">
        <v>1</v>
      </c>
      <c r="X104" s="56"/>
      <c r="Y104" s="56"/>
      <c r="Z104" s="173">
        <f>+SUMPRODUCT(V104:Y104*U104)</f>
        <v>0.15</v>
      </c>
      <c r="AA104" s="91" t="s">
        <v>120</v>
      </c>
      <c r="AB104" s="81" t="s">
        <v>821</v>
      </c>
      <c r="AC104" s="81" t="s">
        <v>810</v>
      </c>
      <c r="AD104" s="303"/>
      <c r="AE104" s="343"/>
      <c r="AF104" s="145" t="s">
        <v>175</v>
      </c>
      <c r="AG104" s="65" t="s">
        <v>176</v>
      </c>
      <c r="AH104" s="69">
        <v>5000000</v>
      </c>
      <c r="AI104" s="286">
        <v>0</v>
      </c>
      <c r="AJ104" s="111">
        <v>0</v>
      </c>
      <c r="AK104" s="106">
        <v>0</v>
      </c>
      <c r="AL104" s="111">
        <v>0</v>
      </c>
      <c r="AM104" s="285">
        <v>0</v>
      </c>
      <c r="AN104" s="108" t="s">
        <v>178</v>
      </c>
      <c r="AO104" s="101" t="s">
        <v>179</v>
      </c>
      <c r="AP104" s="65"/>
    </row>
    <row r="105" spans="2:42" ht="48.6" customHeight="1" x14ac:dyDescent="0.2">
      <c r="B105" s="382"/>
      <c r="C105" s="382"/>
      <c r="D105" s="303"/>
      <c r="E105" s="54"/>
      <c r="F105" s="54"/>
      <c r="G105" s="305"/>
      <c r="H105" s="303"/>
      <c r="I105" s="305"/>
      <c r="J105" s="305"/>
      <c r="K105" s="305"/>
      <c r="L105" s="305"/>
      <c r="M105" s="305"/>
      <c r="N105" s="367"/>
      <c r="O105" s="518"/>
      <c r="P105" s="290"/>
      <c r="Q105" s="290"/>
      <c r="R105" s="290"/>
      <c r="S105" s="290"/>
      <c r="T105" s="81" t="s">
        <v>149</v>
      </c>
      <c r="U105" s="56">
        <v>0.1</v>
      </c>
      <c r="V105" s="56">
        <v>0</v>
      </c>
      <c r="W105" s="56">
        <v>0</v>
      </c>
      <c r="X105" s="56"/>
      <c r="Y105" s="56"/>
      <c r="Z105" s="173">
        <f>+SUMPRODUCT(V105:Y105*U105)</f>
        <v>0</v>
      </c>
      <c r="AA105" s="91" t="s">
        <v>72</v>
      </c>
      <c r="AB105" s="81"/>
      <c r="AC105" s="81"/>
      <c r="AD105" s="303"/>
      <c r="AE105" s="343"/>
      <c r="AF105" s="146" t="s">
        <v>175</v>
      </c>
      <c r="AG105" s="54" t="s">
        <v>176</v>
      </c>
      <c r="AH105" s="70">
        <v>12300000</v>
      </c>
      <c r="AI105" s="93">
        <v>12300000</v>
      </c>
      <c r="AJ105" s="93"/>
      <c r="AK105" s="106">
        <f t="shared" si="6"/>
        <v>0</v>
      </c>
      <c r="AL105" s="93"/>
      <c r="AM105" s="107">
        <f t="shared" si="7"/>
        <v>0</v>
      </c>
      <c r="AN105" s="108" t="s">
        <v>178</v>
      </c>
      <c r="AO105" s="101" t="s">
        <v>179</v>
      </c>
      <c r="AP105" s="54"/>
    </row>
    <row r="106" spans="2:42" ht="68.45" customHeight="1" x14ac:dyDescent="0.2">
      <c r="B106" s="382"/>
      <c r="C106" s="379"/>
      <c r="D106" s="303"/>
      <c r="E106" s="54"/>
      <c r="F106" s="54"/>
      <c r="G106" s="306"/>
      <c r="H106" s="300"/>
      <c r="I106" s="306"/>
      <c r="J106" s="306"/>
      <c r="K106" s="306"/>
      <c r="L106" s="306"/>
      <c r="M106" s="306"/>
      <c r="N106" s="368"/>
      <c r="O106" s="519"/>
      <c r="P106" s="291"/>
      <c r="Q106" s="291"/>
      <c r="R106" s="291"/>
      <c r="S106" s="291"/>
      <c r="T106" s="267" t="s">
        <v>150</v>
      </c>
      <c r="U106" s="269">
        <v>0.25</v>
      </c>
      <c r="V106" s="269">
        <v>9.0909090909090898E-2</v>
      </c>
      <c r="W106" s="277">
        <v>0.45</v>
      </c>
      <c r="X106" s="277"/>
      <c r="Y106" s="277"/>
      <c r="Z106" s="269">
        <f>+SUMPRODUCT(V106:Y106)</f>
        <v>0.54090909090909089</v>
      </c>
      <c r="AA106" s="91" t="s">
        <v>72</v>
      </c>
      <c r="AB106" s="81" t="s">
        <v>831</v>
      </c>
      <c r="AC106" s="81" t="s">
        <v>188</v>
      </c>
      <c r="AD106" s="303"/>
      <c r="AE106" s="343"/>
      <c r="AF106" s="143" t="s">
        <v>174</v>
      </c>
      <c r="AG106" s="54" t="s">
        <v>159</v>
      </c>
      <c r="AH106" s="70">
        <v>375497803</v>
      </c>
      <c r="AI106" s="93">
        <f>314000000+61497803</f>
        <v>375497803</v>
      </c>
      <c r="AJ106" s="93">
        <v>100000000</v>
      </c>
      <c r="AK106" s="106">
        <f t="shared" si="6"/>
        <v>0.2663131427163104</v>
      </c>
      <c r="AL106" s="158">
        <v>100000000</v>
      </c>
      <c r="AM106" s="107">
        <f t="shared" si="7"/>
        <v>0.2663131427163104</v>
      </c>
      <c r="AN106" s="108" t="s">
        <v>178</v>
      </c>
      <c r="AO106" s="101" t="s">
        <v>179</v>
      </c>
      <c r="AP106" s="54"/>
    </row>
    <row r="107" spans="2:42" ht="76.5" x14ac:dyDescent="0.2">
      <c r="B107" s="379"/>
      <c r="C107" s="53" t="s">
        <v>63</v>
      </c>
      <c r="D107" s="300"/>
      <c r="E107" s="54"/>
      <c r="F107" s="54"/>
      <c r="G107" s="54" t="s">
        <v>66</v>
      </c>
      <c r="H107" s="56">
        <v>0.2</v>
      </c>
      <c r="I107" s="54" t="s">
        <v>67</v>
      </c>
      <c r="J107" s="54">
        <v>4</v>
      </c>
      <c r="K107" s="54">
        <v>4</v>
      </c>
      <c r="L107" s="54" t="s">
        <v>69</v>
      </c>
      <c r="M107" s="54">
        <v>1</v>
      </c>
      <c r="N107" s="170">
        <f>+SUMPRODUCT(U107*Z107)</f>
        <v>0</v>
      </c>
      <c r="O107" s="522">
        <f>+SUMPRODUCT(U107*W107)</f>
        <v>0</v>
      </c>
      <c r="P107" s="163"/>
      <c r="Q107" s="163"/>
      <c r="R107" s="163"/>
      <c r="S107" s="163">
        <f>+SUMPRODUCT(U107*Z107)</f>
        <v>0</v>
      </c>
      <c r="T107" s="151" t="s">
        <v>151</v>
      </c>
      <c r="U107" s="173">
        <v>1</v>
      </c>
      <c r="V107" s="173">
        <v>0</v>
      </c>
      <c r="W107" s="56">
        <v>0</v>
      </c>
      <c r="X107" s="56"/>
      <c r="Y107" s="56"/>
      <c r="Z107" s="173">
        <f>+SUMPRODUCT(V107:Y107)</f>
        <v>0</v>
      </c>
      <c r="AA107" s="91" t="s">
        <v>117</v>
      </c>
      <c r="AB107" s="81"/>
      <c r="AC107" s="81"/>
      <c r="AD107" s="300"/>
      <c r="AE107" s="345"/>
      <c r="AF107" s="146" t="s">
        <v>175</v>
      </c>
      <c r="AG107" s="54" t="s">
        <v>176</v>
      </c>
      <c r="AH107" s="70">
        <v>25000000</v>
      </c>
      <c r="AI107" s="93">
        <v>30000000</v>
      </c>
      <c r="AJ107" s="93">
        <v>10000000</v>
      </c>
      <c r="AK107" s="121">
        <f t="shared" si="6"/>
        <v>0.33333333333333331</v>
      </c>
      <c r="AL107" s="93">
        <v>10000000</v>
      </c>
      <c r="AM107" s="122">
        <f t="shared" si="7"/>
        <v>0.33333333333333331</v>
      </c>
      <c r="AN107" s="108" t="s">
        <v>178</v>
      </c>
      <c r="AO107" s="101" t="s">
        <v>179</v>
      </c>
      <c r="AP107" s="54"/>
    </row>
    <row r="108" spans="2:42" x14ac:dyDescent="0.2">
      <c r="S108" s="123">
        <f>+AVERAGE(S9:S107)</f>
        <v>0.2136039898989899</v>
      </c>
      <c r="AH108" s="161">
        <f>+SUM(AH9:AH107)</f>
        <v>2407199875</v>
      </c>
      <c r="AI108" s="148">
        <f>+SUM(AI9:AI107)</f>
        <v>6148401752.6099997</v>
      </c>
      <c r="AJ108" s="148">
        <f>+SUM(AJ9:AJ107)</f>
        <v>1897329000</v>
      </c>
      <c r="AK108" s="149">
        <f>+AVERAGE(AK9:AK107)</f>
        <v>0.38761438136102766</v>
      </c>
      <c r="AL108" s="148">
        <f>+SUM(AL9:AL107)</f>
        <v>1897329000</v>
      </c>
      <c r="AM108" s="150">
        <f>+AVERAGE(AM9:AM107)</f>
        <v>0.38761438136102766</v>
      </c>
    </row>
    <row r="109" spans="2:42" x14ac:dyDescent="0.2">
      <c r="AH109" s="157">
        <f>+AH108-39000000</f>
        <v>2368199875</v>
      </c>
      <c r="AI109" s="27">
        <v>39000000</v>
      </c>
      <c r="AK109" s="76"/>
    </row>
    <row r="110" spans="2:42" x14ac:dyDescent="0.2">
      <c r="AI110" s="157">
        <f>+AI108-AI109</f>
        <v>6109401752.6099997</v>
      </c>
      <c r="AK110" s="76"/>
    </row>
    <row r="111" spans="2:42" x14ac:dyDescent="0.2">
      <c r="AI111" s="157"/>
      <c r="AK111" s="76"/>
    </row>
    <row r="112" spans="2:42" x14ac:dyDescent="0.2">
      <c r="AK112" s="76"/>
    </row>
    <row r="113" spans="36:37" x14ac:dyDescent="0.2">
      <c r="AK113" s="282"/>
    </row>
    <row r="114" spans="36:37" x14ac:dyDescent="0.2">
      <c r="AJ114" s="281"/>
      <c r="AK114" s="76"/>
    </row>
    <row r="115" spans="36:37" x14ac:dyDescent="0.2">
      <c r="AK115" s="76"/>
    </row>
    <row r="116" spans="36:37" x14ac:dyDescent="0.2">
      <c r="AK116" s="76"/>
    </row>
  </sheetData>
  <autoFilter ref="A8:BK107"/>
  <mergeCells count="416">
    <mergeCell ref="AA49:AA51"/>
    <mergeCell ref="AB49:AB51"/>
    <mergeCell ref="AC49:AC51"/>
    <mergeCell ref="U47:U48"/>
    <mergeCell ref="V47:V48"/>
    <mergeCell ref="W47:W48"/>
    <mergeCell ref="X47:X48"/>
    <mergeCell ref="Y47:Y48"/>
    <mergeCell ref="Z47:Z48"/>
    <mergeCell ref="AC47:AC48"/>
    <mergeCell ref="AB47:AB48"/>
    <mergeCell ref="AA47:AA48"/>
    <mergeCell ref="Z49:Z51"/>
    <mergeCell ref="AA12:AA13"/>
    <mergeCell ref="AB12:AB13"/>
    <mergeCell ref="AC12:AC13"/>
    <mergeCell ref="T47:T48"/>
    <mergeCell ref="Z83:Z84"/>
    <mergeCell ref="Z86:Z88"/>
    <mergeCell ref="Z92:Z94"/>
    <mergeCell ref="V86:V88"/>
    <mergeCell ref="W86:W88"/>
    <mergeCell ref="X86:X88"/>
    <mergeCell ref="Y86:Y88"/>
    <mergeCell ref="T12:T13"/>
    <mergeCell ref="U12:U13"/>
    <mergeCell ref="V12:V13"/>
    <mergeCell ref="W12:W13"/>
    <mergeCell ref="X12:X13"/>
    <mergeCell ref="Y12:Y13"/>
    <mergeCell ref="Z12:Z13"/>
    <mergeCell ref="T49:T51"/>
    <mergeCell ref="U49:U51"/>
    <mergeCell ref="V49:V51"/>
    <mergeCell ref="W49:W51"/>
    <mergeCell ref="X49:X51"/>
    <mergeCell ref="Y49:Y51"/>
    <mergeCell ref="AB10:AB11"/>
    <mergeCell ref="AB14:AB15"/>
    <mergeCell ref="AB79:AB80"/>
    <mergeCell ref="AB86:AB88"/>
    <mergeCell ref="AC10:AC11"/>
    <mergeCell ref="AC14:AC15"/>
    <mergeCell ref="AC79:AC80"/>
    <mergeCell ref="AC86:AC88"/>
    <mergeCell ref="AC24:AC25"/>
    <mergeCell ref="AB24:AB25"/>
    <mergeCell ref="AB75:AB77"/>
    <mergeCell ref="AB83:AB84"/>
    <mergeCell ref="Z24:Z25"/>
    <mergeCell ref="Y14:Y15"/>
    <mergeCell ref="V79:V80"/>
    <mergeCell ref="W79:W80"/>
    <mergeCell ref="X79:X80"/>
    <mergeCell ref="Y79:Y80"/>
    <mergeCell ref="Z75:Z77"/>
    <mergeCell ref="Z79:Z80"/>
    <mergeCell ref="AM97:AM102"/>
    <mergeCell ref="AK50:AK51"/>
    <mergeCell ref="AM50:AM51"/>
    <mergeCell ref="AL67:AL69"/>
    <mergeCell ref="AK67:AK69"/>
    <mergeCell ref="AM67:AM69"/>
    <mergeCell ref="AK83:AK84"/>
    <mergeCell ref="AM83:AM84"/>
    <mergeCell ref="AM89:AM90"/>
    <mergeCell ref="AK89:AK90"/>
    <mergeCell ref="AM92:AM94"/>
    <mergeCell ref="AK92:AK94"/>
    <mergeCell ref="AL97:AL102"/>
    <mergeCell ref="AB92:AB94"/>
    <mergeCell ref="AC75:AC77"/>
    <mergeCell ref="AC83:AC84"/>
    <mergeCell ref="AF97:AF102"/>
    <mergeCell ref="AG97:AG102"/>
    <mergeCell ref="AI97:AI102"/>
    <mergeCell ref="AD61:AD94"/>
    <mergeCell ref="AE61:AE94"/>
    <mergeCell ref="AF89:AF90"/>
    <mergeCell ref="AF67:AF69"/>
    <mergeCell ref="AG67:AG69"/>
    <mergeCell ref="AI67:AI69"/>
    <mergeCell ref="AH97:AH102"/>
    <mergeCell ref="L3:L5"/>
    <mergeCell ref="M3:S3"/>
    <mergeCell ref="O28:O45"/>
    <mergeCell ref="N9:N17"/>
    <mergeCell ref="O9:O17"/>
    <mergeCell ref="S9:S17"/>
    <mergeCell ref="N18:N22"/>
    <mergeCell ref="O18:O22"/>
    <mergeCell ref="S18:S22"/>
    <mergeCell ref="Q4:Q5"/>
    <mergeCell ref="R4:R5"/>
    <mergeCell ref="R9:R17"/>
    <mergeCell ref="Q9:Q17"/>
    <mergeCell ref="P9:P17"/>
    <mergeCell ref="P18:P22"/>
    <mergeCell ref="Q18:Q22"/>
    <mergeCell ref="R18:R22"/>
    <mergeCell ref="Q24:Q25"/>
    <mergeCell ref="R24:R25"/>
    <mergeCell ref="N66:N84"/>
    <mergeCell ref="O66:O84"/>
    <mergeCell ref="S66:S84"/>
    <mergeCell ref="N24:N25"/>
    <mergeCell ref="I89:I90"/>
    <mergeCell ref="J89:J90"/>
    <mergeCell ref="K89:K90"/>
    <mergeCell ref="L89:L90"/>
    <mergeCell ref="J86:J88"/>
    <mergeCell ref="K86:K88"/>
    <mergeCell ref="I86:I88"/>
    <mergeCell ref="O24:O25"/>
    <mergeCell ref="S24:S25"/>
    <mergeCell ref="N28:N45"/>
    <mergeCell ref="O26:O27"/>
    <mergeCell ref="S26:S27"/>
    <mergeCell ref="S28:S45"/>
    <mergeCell ref="N86:N88"/>
    <mergeCell ref="O86:O88"/>
    <mergeCell ref="Q28:Q45"/>
    <mergeCell ref="R28:R45"/>
    <mergeCell ref="P89:P90"/>
    <mergeCell ref="P24:P25"/>
    <mergeCell ref="M92:M94"/>
    <mergeCell ref="M95:M96"/>
    <mergeCell ref="M97:M106"/>
    <mergeCell ref="M9:M17"/>
    <mergeCell ref="M18:M22"/>
    <mergeCell ref="M24:M25"/>
    <mergeCell ref="M28:M45"/>
    <mergeCell ref="M46:M60"/>
    <mergeCell ref="L66:L84"/>
    <mergeCell ref="L86:L88"/>
    <mergeCell ref="M66:M84"/>
    <mergeCell ref="M89:M90"/>
    <mergeCell ref="M86:M88"/>
    <mergeCell ref="AP3:AP5"/>
    <mergeCell ref="M4:M5"/>
    <mergeCell ref="N4:N5"/>
    <mergeCell ref="O4:O5"/>
    <mergeCell ref="S4:S5"/>
    <mergeCell ref="AD4:AD5"/>
    <mergeCell ref="T3:T5"/>
    <mergeCell ref="U3:U5"/>
    <mergeCell ref="V3:Y4"/>
    <mergeCell ref="AA3:AA5"/>
    <mergeCell ref="AB3:AB5"/>
    <mergeCell ref="AC3:AC5"/>
    <mergeCell ref="AD3:AE3"/>
    <mergeCell ref="AF3:AM3"/>
    <mergeCell ref="AM4:AM5"/>
    <mergeCell ref="AE4:AE5"/>
    <mergeCell ref="AF4:AF5"/>
    <mergeCell ref="AG4:AG5"/>
    <mergeCell ref="AH4:AH5"/>
    <mergeCell ref="AI4:AI5"/>
    <mergeCell ref="AJ4:AJ5"/>
    <mergeCell ref="AL4:AL5"/>
    <mergeCell ref="AK4:AK5"/>
    <mergeCell ref="P4:P5"/>
    <mergeCell ref="D9:D17"/>
    <mergeCell ref="E9:E17"/>
    <mergeCell ref="F9:F17"/>
    <mergeCell ref="G9:G17"/>
    <mergeCell ref="C9:C17"/>
    <mergeCell ref="B9:B107"/>
    <mergeCell ref="G3:G5"/>
    <mergeCell ref="AN3:AN5"/>
    <mergeCell ref="AO3:AO5"/>
    <mergeCell ref="B3:B5"/>
    <mergeCell ref="C3:C5"/>
    <mergeCell ref="D3:D5"/>
    <mergeCell ref="E3:E5"/>
    <mergeCell ref="F3:F5"/>
    <mergeCell ref="H3:H5"/>
    <mergeCell ref="AJ97:AJ102"/>
    <mergeCell ref="AK97:AK102"/>
    <mergeCell ref="AD95:AD107"/>
    <mergeCell ref="AC92:AC94"/>
    <mergeCell ref="AE95:AE107"/>
    <mergeCell ref="AC89:AC90"/>
    <mergeCell ref="I3:I5"/>
    <mergeCell ref="J3:J5"/>
    <mergeCell ref="K3:K5"/>
    <mergeCell ref="C26:C27"/>
    <mergeCell ref="D26:D60"/>
    <mergeCell ref="G26:G27"/>
    <mergeCell ref="C28:C45"/>
    <mergeCell ref="G28:G45"/>
    <mergeCell ref="C46:C60"/>
    <mergeCell ref="G46:G60"/>
    <mergeCell ref="C18:C22"/>
    <mergeCell ref="D18:D25"/>
    <mergeCell ref="G18:G22"/>
    <mergeCell ref="C24:C25"/>
    <mergeCell ref="G24:G25"/>
    <mergeCell ref="C95:C96"/>
    <mergeCell ref="D95:D107"/>
    <mergeCell ref="G95:G96"/>
    <mergeCell ref="C97:C106"/>
    <mergeCell ref="G97:G106"/>
    <mergeCell ref="D61:D94"/>
    <mergeCell ref="C66:C84"/>
    <mergeCell ref="G66:G84"/>
    <mergeCell ref="C89:C90"/>
    <mergeCell ref="G89:G90"/>
    <mergeCell ref="C92:C94"/>
    <mergeCell ref="G92:G94"/>
    <mergeCell ref="G86:G88"/>
    <mergeCell ref="C86:C88"/>
    <mergeCell ref="H18:H22"/>
    <mergeCell ref="I18:I22"/>
    <mergeCell ref="J18:J22"/>
    <mergeCell ref="K18:K22"/>
    <mergeCell ref="L18:L22"/>
    <mergeCell ref="H9:H17"/>
    <mergeCell ref="I9:I17"/>
    <mergeCell ref="J9:J17"/>
    <mergeCell ref="K9:K17"/>
    <mergeCell ref="L9:L17"/>
    <mergeCell ref="H86:H88"/>
    <mergeCell ref="H24:H25"/>
    <mergeCell ref="I24:I25"/>
    <mergeCell ref="J24:J25"/>
    <mergeCell ref="K24:K25"/>
    <mergeCell ref="L24:L25"/>
    <mergeCell ref="H97:H106"/>
    <mergeCell ref="I97:I106"/>
    <mergeCell ref="J97:J106"/>
    <mergeCell ref="K97:K106"/>
    <mergeCell ref="L97:L106"/>
    <mergeCell ref="H95:H96"/>
    <mergeCell ref="I95:I96"/>
    <mergeCell ref="J95:J96"/>
    <mergeCell ref="K95:K96"/>
    <mergeCell ref="L95:L96"/>
    <mergeCell ref="H92:H94"/>
    <mergeCell ref="I92:I94"/>
    <mergeCell ref="J92:J94"/>
    <mergeCell ref="K92:K94"/>
    <mergeCell ref="L92:L94"/>
    <mergeCell ref="H89:H90"/>
    <mergeCell ref="H26:H27"/>
    <mergeCell ref="I26:I27"/>
    <mergeCell ref="AA86:AA88"/>
    <mergeCell ref="AA24:AA25"/>
    <mergeCell ref="N97:N106"/>
    <mergeCell ref="O97:O106"/>
    <mergeCell ref="S97:S106"/>
    <mergeCell ref="N89:N90"/>
    <mergeCell ref="O89:O90"/>
    <mergeCell ref="S89:S90"/>
    <mergeCell ref="N92:N94"/>
    <mergeCell ref="O92:O94"/>
    <mergeCell ref="S92:S94"/>
    <mergeCell ref="N95:N96"/>
    <mergeCell ref="O95:O96"/>
    <mergeCell ref="S95:S96"/>
    <mergeCell ref="P92:P94"/>
    <mergeCell ref="Q92:Q94"/>
    <mergeCell ref="R92:R94"/>
    <mergeCell ref="P95:P96"/>
    <mergeCell ref="Q95:Q96"/>
    <mergeCell ref="R95:R96"/>
    <mergeCell ref="P97:P106"/>
    <mergeCell ref="N46:N60"/>
    <mergeCell ref="O46:O60"/>
    <mergeCell ref="S46:S60"/>
    <mergeCell ref="Q97:Q106"/>
    <mergeCell ref="R97:R106"/>
    <mergeCell ref="X89:X90"/>
    <mergeCell ref="Y89:Y90"/>
    <mergeCell ref="AA89:AA90"/>
    <mergeCell ref="T92:T94"/>
    <mergeCell ref="U92:U94"/>
    <mergeCell ref="V92:V94"/>
    <mergeCell ref="W92:W94"/>
    <mergeCell ref="X92:X94"/>
    <mergeCell ref="Y92:Y94"/>
    <mergeCell ref="AA92:AA94"/>
    <mergeCell ref="T89:T90"/>
    <mergeCell ref="U89:U90"/>
    <mergeCell ref="V89:V90"/>
    <mergeCell ref="W89:W90"/>
    <mergeCell ref="Q89:Q90"/>
    <mergeCell ref="R89:R90"/>
    <mergeCell ref="AA10:AA11"/>
    <mergeCell ref="AA14:AA15"/>
    <mergeCell ref="T86:T88"/>
    <mergeCell ref="T14:T15"/>
    <mergeCell ref="X75:X77"/>
    <mergeCell ref="Y75:Y77"/>
    <mergeCell ref="AA75:AA77"/>
    <mergeCell ref="T83:T84"/>
    <mergeCell ref="U83:U84"/>
    <mergeCell ref="V83:V84"/>
    <mergeCell ref="W83:W84"/>
    <mergeCell ref="X83:X84"/>
    <mergeCell ref="Y83:Y84"/>
    <mergeCell ref="AA83:AA84"/>
    <mergeCell ref="T75:T77"/>
    <mergeCell ref="U75:U77"/>
    <mergeCell ref="V75:V77"/>
    <mergeCell ref="W75:W77"/>
    <mergeCell ref="T24:T25"/>
    <mergeCell ref="U24:U25"/>
    <mergeCell ref="V24:V25"/>
    <mergeCell ref="W14:W15"/>
    <mergeCell ref="X14:X15"/>
    <mergeCell ref="AA79:AA80"/>
    <mergeCell ref="AD9:AD17"/>
    <mergeCell ref="AE9:AE17"/>
    <mergeCell ref="AD18:AD25"/>
    <mergeCell ref="AE18:AE25"/>
    <mergeCell ref="AD26:AD60"/>
    <mergeCell ref="AE26:AE60"/>
    <mergeCell ref="AF36:AF45"/>
    <mergeCell ref="AF28:AF35"/>
    <mergeCell ref="AK36:AK45"/>
    <mergeCell ref="AP24:AP25"/>
    <mergeCell ref="AP50:AP51"/>
    <mergeCell ref="AP75:AP77"/>
    <mergeCell ref="AF92:AF94"/>
    <mergeCell ref="AG92:AG94"/>
    <mergeCell ref="AH92:AH94"/>
    <mergeCell ref="AI92:AI94"/>
    <mergeCell ref="AJ92:AJ94"/>
    <mergeCell ref="AL92:AL94"/>
    <mergeCell ref="AL83:AL84"/>
    <mergeCell ref="AH89:AH90"/>
    <mergeCell ref="AI89:AI90"/>
    <mergeCell ref="AJ89:AJ90"/>
    <mergeCell ref="AL89:AL90"/>
    <mergeCell ref="AF83:AF84"/>
    <mergeCell ref="AG83:AG84"/>
    <mergeCell ref="AH83:AH84"/>
    <mergeCell ref="AI83:AI84"/>
    <mergeCell ref="AJ83:AJ84"/>
    <mergeCell ref="AP83:AP84"/>
    <mergeCell ref="AP89:AP90"/>
    <mergeCell ref="AP92:AP94"/>
    <mergeCell ref="AG89:AG90"/>
    <mergeCell ref="AP99:AP101"/>
    <mergeCell ref="S86:S88"/>
    <mergeCell ref="AM28:AM35"/>
    <mergeCell ref="AM36:AM45"/>
    <mergeCell ref="AL28:AL35"/>
    <mergeCell ref="AL36:AL45"/>
    <mergeCell ref="T79:T80"/>
    <mergeCell ref="AF50:AF51"/>
    <mergeCell ref="AG50:AG51"/>
    <mergeCell ref="AH50:AH51"/>
    <mergeCell ref="AI50:AI51"/>
    <mergeCell ref="AJ50:AJ51"/>
    <mergeCell ref="AG28:AG35"/>
    <mergeCell ref="AG36:AG45"/>
    <mergeCell ref="AH28:AH35"/>
    <mergeCell ref="AH36:AH45"/>
    <mergeCell ref="AI28:AI35"/>
    <mergeCell ref="AI36:AI45"/>
    <mergeCell ref="AJ28:AJ35"/>
    <mergeCell ref="AJ36:AJ45"/>
    <mergeCell ref="AJ67:AJ69"/>
    <mergeCell ref="AK28:AK35"/>
    <mergeCell ref="AL50:AL51"/>
    <mergeCell ref="AB89:AB90"/>
    <mergeCell ref="H66:H84"/>
    <mergeCell ref="I66:I84"/>
    <mergeCell ref="J66:J84"/>
    <mergeCell ref="K66:K84"/>
    <mergeCell ref="AH67:AH69"/>
    <mergeCell ref="J26:J27"/>
    <mergeCell ref="K26:K27"/>
    <mergeCell ref="L26:L27"/>
    <mergeCell ref="M26:M27"/>
    <mergeCell ref="N26:N27"/>
    <mergeCell ref="H46:H60"/>
    <mergeCell ref="I46:I60"/>
    <mergeCell ref="J46:J60"/>
    <mergeCell ref="K46:K60"/>
    <mergeCell ref="L46:L60"/>
    <mergeCell ref="H28:H45"/>
    <mergeCell ref="I28:I45"/>
    <mergeCell ref="J28:J45"/>
    <mergeCell ref="K28:K45"/>
    <mergeCell ref="L28:L45"/>
    <mergeCell ref="P26:P27"/>
    <mergeCell ref="Q26:Q27"/>
    <mergeCell ref="R26:R27"/>
    <mergeCell ref="P28:P45"/>
    <mergeCell ref="P46:P60"/>
    <mergeCell ref="Q46:Q60"/>
    <mergeCell ref="Z10:Z11"/>
    <mergeCell ref="Z14:Z15"/>
    <mergeCell ref="R46:R60"/>
    <mergeCell ref="P66:P84"/>
    <mergeCell ref="Q66:Q84"/>
    <mergeCell ref="R66:R84"/>
    <mergeCell ref="P86:P88"/>
    <mergeCell ref="Q86:Q88"/>
    <mergeCell ref="R86:R88"/>
    <mergeCell ref="T10:T11"/>
    <mergeCell ref="Y24:Y25"/>
    <mergeCell ref="W24:W25"/>
    <mergeCell ref="X24:X25"/>
    <mergeCell ref="U10:U11"/>
    <mergeCell ref="U14:U15"/>
    <mergeCell ref="U79:U80"/>
    <mergeCell ref="U86:U88"/>
    <mergeCell ref="V10:V11"/>
    <mergeCell ref="W10:W11"/>
    <mergeCell ref="X10:X11"/>
    <mergeCell ref="Y10:Y11"/>
    <mergeCell ref="V14:V15"/>
  </mergeCells>
  <pageMargins left="0.7" right="0.7" top="0.75" bottom="0.75" header="0.3" footer="0.3"/>
  <pageSetup paperSize="5" scale="4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
  <sheetViews>
    <sheetView workbookViewId="0">
      <selection activeCell="D3" sqref="D3"/>
    </sheetView>
  </sheetViews>
  <sheetFormatPr baseColWidth="10" defaultRowHeight="15" x14ac:dyDescent="0.25"/>
  <sheetData>
    <row r="2" spans="2:4" x14ac:dyDescent="0.25">
      <c r="B2" s="77">
        <v>0.1</v>
      </c>
      <c r="C2" s="260">
        <v>0</v>
      </c>
      <c r="D2" s="503">
        <f>+B2*C2</f>
        <v>0</v>
      </c>
    </row>
    <row r="3" spans="2:4" x14ac:dyDescent="0.25">
      <c r="B3" s="301">
        <v>0.2</v>
      </c>
      <c r="C3" s="292">
        <v>0.45400000000000001</v>
      </c>
      <c r="D3" s="503">
        <f t="shared" ref="D3:D10" si="0">+B3*C3</f>
        <v>9.0800000000000006E-2</v>
      </c>
    </row>
    <row r="4" spans="2:4" x14ac:dyDescent="0.25">
      <c r="B4" s="302"/>
      <c r="C4" s="293"/>
      <c r="D4" s="503">
        <f t="shared" si="0"/>
        <v>0</v>
      </c>
    </row>
    <row r="5" spans="2:4" x14ac:dyDescent="0.25">
      <c r="B5" s="301">
        <v>0.2</v>
      </c>
      <c r="C5" s="292">
        <v>0</v>
      </c>
      <c r="D5" s="503">
        <f t="shared" si="0"/>
        <v>0</v>
      </c>
    </row>
    <row r="6" spans="2:4" x14ac:dyDescent="0.25">
      <c r="B6" s="302"/>
      <c r="C6" s="293"/>
      <c r="D6" s="503">
        <f t="shared" si="0"/>
        <v>0</v>
      </c>
    </row>
    <row r="7" spans="2:4" x14ac:dyDescent="0.25">
      <c r="B7" s="301">
        <v>0.25</v>
      </c>
      <c r="C7" s="292">
        <v>0</v>
      </c>
      <c r="D7" s="503">
        <f t="shared" si="0"/>
        <v>0</v>
      </c>
    </row>
    <row r="8" spans="2:4" x14ac:dyDescent="0.25">
      <c r="B8" s="302"/>
      <c r="C8" s="293"/>
      <c r="D8" s="503">
        <f t="shared" si="0"/>
        <v>0</v>
      </c>
    </row>
    <row r="9" spans="2:4" x14ac:dyDescent="0.25">
      <c r="B9" s="287">
        <v>0.15</v>
      </c>
      <c r="C9" s="288">
        <v>0</v>
      </c>
      <c r="D9" s="503">
        <f t="shared" si="0"/>
        <v>0</v>
      </c>
    </row>
    <row r="10" spans="2:4" x14ac:dyDescent="0.25">
      <c r="B10" s="102">
        <v>0.1</v>
      </c>
      <c r="C10" s="263">
        <v>0</v>
      </c>
      <c r="D10" s="503">
        <f t="shared" si="0"/>
        <v>0</v>
      </c>
    </row>
  </sheetData>
  <mergeCells count="6">
    <mergeCell ref="B3:B4"/>
    <mergeCell ref="B5:B6"/>
    <mergeCell ref="B7:B8"/>
    <mergeCell ref="C3:C4"/>
    <mergeCell ref="C5:C6"/>
    <mergeCell ref="C7: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Y460"/>
  <sheetViews>
    <sheetView zoomScale="50" zoomScaleNormal="50" workbookViewId="0">
      <selection activeCell="G196" sqref="G196"/>
    </sheetView>
  </sheetViews>
  <sheetFormatPr baseColWidth="10" defaultColWidth="11.42578125" defaultRowHeight="15" x14ac:dyDescent="0.2"/>
  <cols>
    <col min="1" max="1" width="11.42578125" style="181"/>
    <col min="2" max="2" width="40.5703125" style="181" customWidth="1"/>
    <col min="3" max="3" width="30.28515625" style="181" customWidth="1"/>
    <col min="4" max="5" width="30.28515625" style="249" customWidth="1"/>
    <col min="6" max="6" width="26.140625" style="181" customWidth="1"/>
    <col min="7" max="7" width="34.140625" style="250" customWidth="1"/>
    <col min="8" max="8" width="17.140625" style="250" hidden="1" customWidth="1"/>
    <col min="9" max="10" width="19.140625" style="250" hidden="1" customWidth="1"/>
    <col min="11" max="11" width="31" style="251" hidden="1" customWidth="1"/>
    <col min="12" max="12" width="19.85546875" style="181" hidden="1" customWidth="1"/>
    <col min="13" max="13" width="11.42578125" style="252"/>
    <col min="14" max="14" width="11.42578125" style="253"/>
    <col min="15" max="16" width="11.42578125" style="249"/>
    <col min="17" max="17" width="35" style="249" customWidth="1"/>
    <col min="18" max="18" width="28.28515625" style="249" customWidth="1"/>
    <col min="19" max="19" width="35" style="249" customWidth="1"/>
    <col min="20" max="20" width="24.5703125" style="249" customWidth="1"/>
    <col min="21" max="21" width="35" style="249" customWidth="1"/>
    <col min="22" max="22" width="26.28515625" style="249" customWidth="1"/>
    <col min="23" max="23" width="35" style="249" bestFit="1" customWidth="1"/>
    <col min="24" max="24" width="27.7109375" style="249" customWidth="1"/>
    <col min="25" max="25" width="25" style="249" customWidth="1"/>
    <col min="26" max="16384" width="11.42578125" style="181"/>
  </cols>
  <sheetData>
    <row r="1" spans="2:25" x14ac:dyDescent="0.2">
      <c r="B1" s="176"/>
      <c r="C1" s="176"/>
      <c r="D1" s="176"/>
      <c r="E1" s="176"/>
      <c r="F1" s="176"/>
      <c r="G1" s="177"/>
      <c r="H1" s="177"/>
      <c r="I1" s="177"/>
      <c r="J1" s="177"/>
      <c r="K1" s="178"/>
      <c r="L1" s="176"/>
      <c r="M1" s="179"/>
      <c r="N1" s="180"/>
      <c r="O1" s="176"/>
      <c r="P1" s="176"/>
      <c r="Q1" s="176"/>
      <c r="R1" s="176"/>
      <c r="S1" s="176"/>
      <c r="T1" s="176"/>
      <c r="U1" s="176"/>
      <c r="V1" s="176"/>
      <c r="W1" s="176"/>
      <c r="X1" s="176"/>
      <c r="Y1" s="176"/>
    </row>
    <row r="2" spans="2:25" x14ac:dyDescent="0.2">
      <c r="B2" s="176"/>
      <c r="C2" s="176"/>
      <c r="D2" s="176"/>
      <c r="E2" s="176"/>
      <c r="F2" s="176"/>
      <c r="G2" s="177"/>
      <c r="H2" s="177"/>
      <c r="I2" s="177"/>
      <c r="J2" s="177"/>
      <c r="K2" s="178"/>
      <c r="L2" s="176"/>
      <c r="M2" s="179"/>
      <c r="N2" s="180"/>
      <c r="O2" s="176"/>
      <c r="P2" s="176"/>
      <c r="Q2" s="176"/>
      <c r="R2" s="176"/>
      <c r="S2" s="176"/>
      <c r="T2" s="176"/>
      <c r="U2" s="176"/>
      <c r="V2" s="176"/>
      <c r="W2" s="176"/>
      <c r="X2" s="176"/>
      <c r="Y2" s="176"/>
    </row>
    <row r="3" spans="2:25" x14ac:dyDescent="0.2">
      <c r="B3" s="176"/>
      <c r="C3" s="176"/>
      <c r="D3" s="176"/>
      <c r="E3" s="176"/>
      <c r="F3" s="176"/>
      <c r="G3" s="177"/>
      <c r="H3" s="177"/>
      <c r="I3" s="177"/>
      <c r="J3" s="177"/>
      <c r="K3" s="178"/>
      <c r="L3" s="176"/>
      <c r="M3" s="179"/>
      <c r="N3" s="180"/>
      <c r="O3" s="176"/>
      <c r="P3" s="176"/>
      <c r="Q3" s="176"/>
      <c r="R3" s="176"/>
      <c r="S3" s="176"/>
      <c r="T3" s="176"/>
      <c r="U3" s="176"/>
      <c r="V3" s="176"/>
      <c r="W3" s="176"/>
      <c r="X3" s="176"/>
      <c r="Y3" s="176"/>
    </row>
    <row r="4" spans="2:25" ht="20.25" x14ac:dyDescent="0.3">
      <c r="B4" s="182" t="s">
        <v>207</v>
      </c>
      <c r="C4" s="176"/>
      <c r="D4" s="176"/>
      <c r="E4" s="176"/>
      <c r="F4" s="176"/>
      <c r="G4" s="177"/>
      <c r="H4" s="177"/>
      <c r="I4" s="177"/>
      <c r="J4" s="177"/>
      <c r="K4" s="178"/>
      <c r="L4" s="176"/>
      <c r="M4" s="179"/>
      <c r="N4" s="180"/>
      <c r="O4" s="176"/>
      <c r="P4" s="176"/>
      <c r="Q4" s="176"/>
      <c r="R4" s="176"/>
      <c r="S4" s="176"/>
      <c r="T4" s="176"/>
      <c r="U4" s="176"/>
      <c r="V4" s="176"/>
      <c r="W4" s="176"/>
      <c r="X4" s="176"/>
      <c r="Y4" s="176"/>
    </row>
    <row r="5" spans="2:25" ht="20.25" x14ac:dyDescent="0.3">
      <c r="B5" s="182" t="s">
        <v>208</v>
      </c>
      <c r="C5" s="176"/>
      <c r="D5" s="176"/>
      <c r="E5" s="176"/>
      <c r="F5" s="176"/>
      <c r="G5" s="177"/>
      <c r="H5" s="177"/>
      <c r="I5" s="177"/>
      <c r="J5" s="177"/>
      <c r="K5" s="178"/>
      <c r="L5" s="176"/>
      <c r="M5" s="179"/>
      <c r="N5" s="180"/>
      <c r="O5" s="176"/>
      <c r="P5" s="176"/>
      <c r="Q5" s="176"/>
      <c r="R5" s="176"/>
      <c r="S5" s="176"/>
      <c r="T5" s="176"/>
      <c r="U5" s="176"/>
      <c r="V5" s="176"/>
      <c r="W5" s="176"/>
      <c r="X5" s="176"/>
      <c r="Y5" s="176"/>
    </row>
    <row r="6" spans="2:25" x14ac:dyDescent="0.2">
      <c r="B6" s="176"/>
      <c r="C6" s="176"/>
      <c r="D6" s="176"/>
      <c r="E6" s="176"/>
      <c r="F6" s="176"/>
      <c r="G6" s="177"/>
      <c r="H6" s="177"/>
      <c r="I6" s="177"/>
      <c r="J6" s="177"/>
      <c r="K6" s="178"/>
      <c r="L6" s="176"/>
      <c r="M6" s="179"/>
      <c r="N6" s="180"/>
      <c r="O6" s="176"/>
      <c r="P6" s="176"/>
      <c r="Q6" s="176"/>
      <c r="R6" s="176"/>
      <c r="S6" s="176"/>
      <c r="T6" s="176"/>
      <c r="U6" s="176"/>
      <c r="V6" s="176"/>
      <c r="W6" s="176"/>
      <c r="X6" s="176"/>
      <c r="Y6" s="176"/>
    </row>
    <row r="7" spans="2:25" x14ac:dyDescent="0.2">
      <c r="B7" s="176"/>
      <c r="C7" s="176"/>
      <c r="D7" s="176"/>
      <c r="E7" s="176"/>
      <c r="F7" s="176"/>
      <c r="G7" s="177"/>
      <c r="H7" s="177"/>
      <c r="I7" s="177"/>
      <c r="J7" s="177"/>
      <c r="K7" s="178"/>
      <c r="L7" s="176"/>
      <c r="M7" s="179"/>
      <c r="N7" s="180"/>
      <c r="O7" s="176"/>
      <c r="P7" s="176"/>
      <c r="Q7" s="176"/>
      <c r="R7" s="176"/>
      <c r="S7" s="176"/>
      <c r="T7" s="176"/>
      <c r="U7" s="176"/>
      <c r="V7" s="176"/>
      <c r="W7" s="176"/>
      <c r="X7" s="176"/>
      <c r="Y7" s="176"/>
    </row>
    <row r="8" spans="2:25" x14ac:dyDescent="0.2">
      <c r="B8" s="176"/>
      <c r="C8" s="176"/>
      <c r="D8" s="176"/>
      <c r="E8" s="176"/>
      <c r="F8" s="176"/>
      <c r="G8" s="177"/>
      <c r="H8" s="177"/>
      <c r="I8" s="177"/>
      <c r="J8" s="177"/>
      <c r="K8" s="178"/>
      <c r="L8" s="176"/>
      <c r="M8" s="179"/>
      <c r="N8" s="180"/>
      <c r="O8" s="176"/>
      <c r="P8" s="176"/>
      <c r="Q8" s="176"/>
      <c r="R8" s="176"/>
      <c r="S8" s="176"/>
      <c r="T8" s="176"/>
      <c r="U8" s="176"/>
      <c r="V8" s="176"/>
      <c r="W8" s="176"/>
      <c r="X8" s="176"/>
      <c r="Y8" s="176"/>
    </row>
    <row r="9" spans="2:25" x14ac:dyDescent="0.2">
      <c r="B9" s="176"/>
      <c r="C9" s="176"/>
      <c r="D9" s="176"/>
      <c r="E9" s="176"/>
      <c r="F9" s="176"/>
      <c r="G9" s="177"/>
      <c r="H9" s="177"/>
      <c r="I9" s="177"/>
      <c r="J9" s="177"/>
      <c r="K9" s="178"/>
      <c r="L9" s="176"/>
      <c r="M9" s="179"/>
      <c r="N9" s="180"/>
      <c r="O9" s="176"/>
      <c r="P9" s="176"/>
      <c r="Q9" s="176"/>
      <c r="R9" s="176"/>
      <c r="S9" s="176"/>
      <c r="T9" s="176"/>
      <c r="U9" s="176"/>
      <c r="V9" s="176"/>
      <c r="W9" s="176"/>
      <c r="X9" s="176"/>
      <c r="Y9" s="176"/>
    </row>
    <row r="10" spans="2:25" ht="15.75" customHeight="1" x14ac:dyDescent="0.25">
      <c r="B10" s="472" t="s">
        <v>209</v>
      </c>
      <c r="C10" s="472"/>
      <c r="D10" s="472"/>
      <c r="E10" s="472"/>
      <c r="F10" s="472"/>
      <c r="G10" s="472"/>
      <c r="H10" s="472"/>
      <c r="I10" s="472"/>
      <c r="J10" s="472"/>
      <c r="K10" s="472"/>
      <c r="L10" s="472"/>
      <c r="M10" s="473" t="s">
        <v>210</v>
      </c>
      <c r="N10" s="474"/>
      <c r="O10" s="474"/>
      <c r="P10" s="475"/>
      <c r="Q10" s="476" t="s">
        <v>211</v>
      </c>
      <c r="R10" s="476"/>
      <c r="S10" s="476"/>
      <c r="T10" s="476"/>
      <c r="U10" s="476"/>
      <c r="V10" s="476"/>
      <c r="W10" s="476"/>
      <c r="X10" s="476"/>
      <c r="Y10" s="476"/>
    </row>
    <row r="11" spans="2:25" ht="52.5" customHeight="1" x14ac:dyDescent="0.2">
      <c r="B11" s="183" t="s">
        <v>0</v>
      </c>
      <c r="C11" s="183" t="s">
        <v>1</v>
      </c>
      <c r="D11" s="184" t="s">
        <v>212</v>
      </c>
      <c r="E11" s="184" t="s">
        <v>213</v>
      </c>
      <c r="F11" s="183" t="s">
        <v>2</v>
      </c>
      <c r="G11" s="185" t="s">
        <v>214</v>
      </c>
      <c r="H11" s="185" t="s">
        <v>3</v>
      </c>
      <c r="I11" s="185" t="s">
        <v>4</v>
      </c>
      <c r="J11" s="185" t="s">
        <v>5</v>
      </c>
      <c r="K11" s="185" t="s">
        <v>215</v>
      </c>
      <c r="L11" s="185" t="s">
        <v>216</v>
      </c>
      <c r="M11" s="184">
        <v>2020</v>
      </c>
      <c r="N11" s="184">
        <v>2021</v>
      </c>
      <c r="O11" s="184">
        <v>2022</v>
      </c>
      <c r="P11" s="184">
        <v>2023</v>
      </c>
      <c r="Q11" s="186" t="s">
        <v>217</v>
      </c>
      <c r="R11" s="184">
        <v>2020</v>
      </c>
      <c r="S11" s="186" t="s">
        <v>217</v>
      </c>
      <c r="T11" s="186">
        <v>2021</v>
      </c>
      <c r="U11" s="186" t="s">
        <v>217</v>
      </c>
      <c r="V11" s="186">
        <v>2022</v>
      </c>
      <c r="W11" s="186" t="s">
        <v>217</v>
      </c>
      <c r="X11" s="186">
        <v>2023</v>
      </c>
      <c r="Y11" s="186" t="s">
        <v>218</v>
      </c>
    </row>
    <row r="12" spans="2:25" ht="109.5" hidden="1" customHeight="1" x14ac:dyDescent="0.2">
      <c r="B12" s="187" t="s">
        <v>219</v>
      </c>
      <c r="C12" s="187" t="s">
        <v>220</v>
      </c>
      <c r="D12" s="188"/>
      <c r="E12" s="188"/>
      <c r="F12" s="189" t="s">
        <v>221</v>
      </c>
      <c r="G12" s="190" t="s">
        <v>222</v>
      </c>
      <c r="H12" s="191" t="s">
        <v>67</v>
      </c>
      <c r="I12" s="191">
        <v>19187</v>
      </c>
      <c r="J12" s="191">
        <v>19187</v>
      </c>
      <c r="K12" s="191" t="s">
        <v>223</v>
      </c>
      <c r="L12" s="192"/>
      <c r="M12" s="193"/>
      <c r="N12" s="193"/>
      <c r="O12" s="193"/>
      <c r="P12" s="193"/>
      <c r="Q12" s="193"/>
      <c r="R12" s="193"/>
      <c r="S12" s="193"/>
      <c r="T12" s="193"/>
      <c r="U12" s="193"/>
      <c r="V12" s="193"/>
      <c r="W12" s="193"/>
      <c r="X12" s="193"/>
      <c r="Y12" s="193"/>
    </row>
    <row r="13" spans="2:25" ht="60.75" hidden="1" customHeight="1" x14ac:dyDescent="0.2">
      <c r="B13" s="187" t="s">
        <v>219</v>
      </c>
      <c r="C13" s="187" t="s">
        <v>220</v>
      </c>
      <c r="D13" s="188"/>
      <c r="E13" s="188"/>
      <c r="F13" s="189" t="s">
        <v>221</v>
      </c>
      <c r="G13" s="194" t="s">
        <v>224</v>
      </c>
      <c r="H13" s="195" t="s">
        <v>67</v>
      </c>
      <c r="I13" s="195">
        <v>0</v>
      </c>
      <c r="J13" s="195">
        <v>1</v>
      </c>
      <c r="K13" s="196" t="s">
        <v>225</v>
      </c>
      <c r="L13" s="197"/>
      <c r="M13" s="198">
        <v>0.33</v>
      </c>
      <c r="N13" s="198">
        <v>0.33</v>
      </c>
      <c r="O13" s="198">
        <v>0.34</v>
      </c>
      <c r="P13" s="199"/>
      <c r="Q13" s="199"/>
      <c r="R13" s="193"/>
      <c r="S13" s="193"/>
      <c r="T13" s="193"/>
      <c r="U13" s="193"/>
      <c r="V13" s="193"/>
      <c r="W13" s="193"/>
      <c r="X13" s="193"/>
      <c r="Y13" s="193"/>
    </row>
    <row r="14" spans="2:25" ht="66" hidden="1" customHeight="1" x14ac:dyDescent="0.2">
      <c r="B14" s="187" t="s">
        <v>219</v>
      </c>
      <c r="C14" s="187" t="s">
        <v>220</v>
      </c>
      <c r="D14" s="188"/>
      <c r="E14" s="188"/>
      <c r="F14" s="189" t="s">
        <v>221</v>
      </c>
      <c r="G14" s="194" t="s">
        <v>226</v>
      </c>
      <c r="H14" s="195" t="s">
        <v>67</v>
      </c>
      <c r="I14" s="195">
        <v>0</v>
      </c>
      <c r="J14" s="195">
        <v>1</v>
      </c>
      <c r="K14" s="196" t="s">
        <v>225</v>
      </c>
      <c r="L14" s="197"/>
      <c r="M14" s="198">
        <v>0.33</v>
      </c>
      <c r="N14" s="198">
        <v>0.33</v>
      </c>
      <c r="O14" s="198">
        <v>0.34</v>
      </c>
      <c r="P14" s="199"/>
      <c r="Q14" s="199"/>
      <c r="R14" s="193"/>
      <c r="S14" s="193"/>
      <c r="T14" s="193"/>
      <c r="U14" s="193"/>
      <c r="V14" s="193"/>
      <c r="W14" s="193"/>
      <c r="X14" s="193"/>
      <c r="Y14" s="193"/>
    </row>
    <row r="15" spans="2:25" ht="75.75" hidden="1" customHeight="1" x14ac:dyDescent="0.2">
      <c r="B15" s="187" t="s">
        <v>219</v>
      </c>
      <c r="C15" s="187" t="s">
        <v>220</v>
      </c>
      <c r="D15" s="188"/>
      <c r="E15" s="188"/>
      <c r="F15" s="189" t="s">
        <v>221</v>
      </c>
      <c r="G15" s="200" t="s">
        <v>227</v>
      </c>
      <c r="H15" s="201" t="s">
        <v>67</v>
      </c>
      <c r="I15" s="201">
        <v>2500</v>
      </c>
      <c r="J15" s="201">
        <v>2500</v>
      </c>
      <c r="K15" s="202" t="s">
        <v>228</v>
      </c>
      <c r="L15" s="197"/>
      <c r="M15" s="193"/>
      <c r="N15" s="193"/>
      <c r="O15" s="193"/>
      <c r="P15" s="193"/>
      <c r="Q15" s="193"/>
      <c r="R15" s="193"/>
      <c r="S15" s="193"/>
      <c r="T15" s="193"/>
      <c r="U15" s="193"/>
      <c r="V15" s="193"/>
      <c r="W15" s="193"/>
      <c r="X15" s="193"/>
      <c r="Y15" s="193"/>
    </row>
    <row r="16" spans="2:25" ht="64.5" hidden="1" customHeight="1" x14ac:dyDescent="0.2">
      <c r="B16" s="187" t="s">
        <v>219</v>
      </c>
      <c r="C16" s="187" t="s">
        <v>220</v>
      </c>
      <c r="D16" s="188"/>
      <c r="E16" s="188"/>
      <c r="F16" s="189" t="s">
        <v>221</v>
      </c>
      <c r="G16" s="194" t="s">
        <v>229</v>
      </c>
      <c r="H16" s="195" t="s">
        <v>67</v>
      </c>
      <c r="I16" s="195">
        <v>0</v>
      </c>
      <c r="J16" s="195">
        <v>1</v>
      </c>
      <c r="K16" s="196" t="s">
        <v>225</v>
      </c>
      <c r="L16" s="197"/>
      <c r="M16" s="198">
        <v>0.33</v>
      </c>
      <c r="N16" s="198">
        <v>0.33</v>
      </c>
      <c r="O16" s="198">
        <v>0.34</v>
      </c>
      <c r="P16" s="199"/>
      <c r="Q16" s="199"/>
      <c r="R16" s="193"/>
      <c r="S16" s="193"/>
      <c r="T16" s="193"/>
      <c r="U16" s="193"/>
      <c r="V16" s="193"/>
      <c r="W16" s="193"/>
      <c r="X16" s="193"/>
      <c r="Y16" s="193"/>
    </row>
    <row r="17" spans="2:25" ht="70.5" hidden="1" customHeight="1" x14ac:dyDescent="0.2">
      <c r="B17" s="187" t="s">
        <v>219</v>
      </c>
      <c r="C17" s="187" t="s">
        <v>220</v>
      </c>
      <c r="D17" s="188"/>
      <c r="E17" s="188"/>
      <c r="F17" s="189" t="s">
        <v>221</v>
      </c>
      <c r="G17" s="200" t="s">
        <v>230</v>
      </c>
      <c r="H17" s="201" t="s">
        <v>67</v>
      </c>
      <c r="I17" s="201">
        <v>0</v>
      </c>
      <c r="J17" s="201">
        <v>1</v>
      </c>
      <c r="K17" s="202" t="s">
        <v>228</v>
      </c>
      <c r="L17" s="197"/>
      <c r="M17" s="193"/>
      <c r="N17" s="193"/>
      <c r="O17" s="193"/>
      <c r="P17" s="193"/>
      <c r="Q17" s="193"/>
      <c r="R17" s="193"/>
      <c r="S17" s="193"/>
      <c r="T17" s="193"/>
      <c r="U17" s="193"/>
      <c r="V17" s="193"/>
      <c r="W17" s="193"/>
      <c r="X17" s="193"/>
      <c r="Y17" s="193"/>
    </row>
    <row r="18" spans="2:25" ht="69.75" hidden="1" customHeight="1" x14ac:dyDescent="0.2">
      <c r="B18" s="187" t="s">
        <v>219</v>
      </c>
      <c r="C18" s="187" t="s">
        <v>220</v>
      </c>
      <c r="D18" s="188"/>
      <c r="E18" s="188"/>
      <c r="F18" s="189" t="s">
        <v>221</v>
      </c>
      <c r="G18" s="200" t="s">
        <v>231</v>
      </c>
      <c r="H18" s="201" t="s">
        <v>67</v>
      </c>
      <c r="I18" s="201">
        <v>0</v>
      </c>
      <c r="J18" s="201">
        <v>1</v>
      </c>
      <c r="K18" s="191" t="s">
        <v>232</v>
      </c>
      <c r="L18" s="197"/>
      <c r="M18" s="193"/>
      <c r="N18" s="193"/>
      <c r="O18" s="193"/>
      <c r="P18" s="193"/>
      <c r="Q18" s="193"/>
      <c r="R18" s="193"/>
      <c r="S18" s="193"/>
      <c r="T18" s="193"/>
      <c r="U18" s="193"/>
      <c r="V18" s="193"/>
      <c r="W18" s="193"/>
      <c r="X18" s="193"/>
      <c r="Y18" s="193"/>
    </row>
    <row r="19" spans="2:25" ht="79.5" hidden="1" customHeight="1" x14ac:dyDescent="0.2">
      <c r="B19" s="187" t="s">
        <v>219</v>
      </c>
      <c r="C19" s="187" t="s">
        <v>220</v>
      </c>
      <c r="D19" s="188"/>
      <c r="E19" s="188"/>
      <c r="F19" s="189" t="s">
        <v>233</v>
      </c>
      <c r="G19" s="203" t="s">
        <v>234</v>
      </c>
      <c r="H19" s="202" t="s">
        <v>67</v>
      </c>
      <c r="I19" s="202">
        <v>0</v>
      </c>
      <c r="J19" s="204">
        <v>22000</v>
      </c>
      <c r="K19" s="202" t="s">
        <v>228</v>
      </c>
      <c r="L19" s="205"/>
      <c r="M19" s="193"/>
      <c r="N19" s="193"/>
      <c r="O19" s="193"/>
      <c r="P19" s="193"/>
      <c r="Q19" s="193"/>
      <c r="R19" s="193"/>
      <c r="S19" s="193"/>
      <c r="T19" s="193"/>
      <c r="U19" s="193"/>
      <c r="V19" s="193"/>
      <c r="W19" s="193"/>
      <c r="X19" s="193"/>
      <c r="Y19" s="193"/>
    </row>
    <row r="20" spans="2:25" ht="75.75" hidden="1" customHeight="1" x14ac:dyDescent="0.2">
      <c r="B20" s="187" t="s">
        <v>219</v>
      </c>
      <c r="C20" s="187" t="s">
        <v>220</v>
      </c>
      <c r="D20" s="188"/>
      <c r="E20" s="188"/>
      <c r="F20" s="189" t="s">
        <v>233</v>
      </c>
      <c r="G20" s="203" t="s">
        <v>235</v>
      </c>
      <c r="H20" s="202" t="s">
        <v>67</v>
      </c>
      <c r="I20" s="202">
        <v>0</v>
      </c>
      <c r="J20" s="202">
        <v>6</v>
      </c>
      <c r="K20" s="202" t="s">
        <v>228</v>
      </c>
      <c r="L20" s="205"/>
      <c r="M20" s="193"/>
      <c r="N20" s="193"/>
      <c r="O20" s="193"/>
      <c r="P20" s="193"/>
      <c r="Q20" s="193"/>
      <c r="R20" s="193"/>
      <c r="S20" s="193"/>
      <c r="T20" s="193"/>
      <c r="U20" s="193"/>
      <c r="V20" s="193"/>
      <c r="W20" s="193"/>
      <c r="X20" s="193"/>
      <c r="Y20" s="193"/>
    </row>
    <row r="21" spans="2:25" ht="69.75" hidden="1" customHeight="1" x14ac:dyDescent="0.2">
      <c r="B21" s="187" t="s">
        <v>219</v>
      </c>
      <c r="C21" s="187" t="s">
        <v>220</v>
      </c>
      <c r="D21" s="188"/>
      <c r="E21" s="188"/>
      <c r="F21" s="189" t="s">
        <v>233</v>
      </c>
      <c r="G21" s="203" t="s">
        <v>236</v>
      </c>
      <c r="H21" s="202" t="s">
        <v>67</v>
      </c>
      <c r="I21" s="202">
        <v>100</v>
      </c>
      <c r="J21" s="202">
        <v>1000</v>
      </c>
      <c r="K21" s="202" t="s">
        <v>228</v>
      </c>
      <c r="L21" s="205"/>
      <c r="M21" s="193"/>
      <c r="N21" s="193"/>
      <c r="O21" s="193"/>
      <c r="P21" s="193"/>
      <c r="Q21" s="193"/>
      <c r="R21" s="193"/>
      <c r="S21" s="193"/>
      <c r="T21" s="193"/>
      <c r="U21" s="193"/>
      <c r="V21" s="193"/>
      <c r="W21" s="193"/>
      <c r="X21" s="193"/>
      <c r="Y21" s="193"/>
    </row>
    <row r="22" spans="2:25" ht="60.75" hidden="1" customHeight="1" x14ac:dyDescent="0.2">
      <c r="B22" s="187" t="s">
        <v>219</v>
      </c>
      <c r="C22" s="187" t="s">
        <v>237</v>
      </c>
      <c r="D22" s="188"/>
      <c r="E22" s="188"/>
      <c r="F22" s="189" t="s">
        <v>238</v>
      </c>
      <c r="G22" s="194" t="s">
        <v>239</v>
      </c>
      <c r="H22" s="191" t="s">
        <v>240</v>
      </c>
      <c r="I22" s="195">
        <v>0</v>
      </c>
      <c r="J22" s="195">
        <v>1210</v>
      </c>
      <c r="K22" s="191" t="s">
        <v>241</v>
      </c>
      <c r="L22" s="205"/>
      <c r="M22" s="193"/>
      <c r="N22" s="193"/>
      <c r="O22" s="193"/>
      <c r="P22" s="193"/>
      <c r="Q22" s="193"/>
      <c r="R22" s="193"/>
      <c r="S22" s="193"/>
      <c r="T22" s="193"/>
      <c r="U22" s="193"/>
      <c r="V22" s="193"/>
      <c r="W22" s="193"/>
      <c r="X22" s="193"/>
      <c r="Y22" s="193"/>
    </row>
    <row r="23" spans="2:25" ht="64.5" hidden="1" customHeight="1" x14ac:dyDescent="0.2">
      <c r="B23" s="187" t="s">
        <v>219</v>
      </c>
      <c r="C23" s="187" t="s">
        <v>237</v>
      </c>
      <c r="D23" s="188"/>
      <c r="E23" s="188"/>
      <c r="F23" s="189" t="s">
        <v>238</v>
      </c>
      <c r="G23" s="194" t="s">
        <v>242</v>
      </c>
      <c r="H23" s="195" t="s">
        <v>67</v>
      </c>
      <c r="I23" s="195">
        <v>2</v>
      </c>
      <c r="J23" s="195">
        <v>4</v>
      </c>
      <c r="K23" s="191" t="s">
        <v>241</v>
      </c>
      <c r="L23" s="205"/>
      <c r="M23" s="193"/>
      <c r="N23" s="193"/>
      <c r="O23" s="193"/>
      <c r="P23" s="193"/>
      <c r="Q23" s="193"/>
      <c r="R23" s="193"/>
      <c r="S23" s="193"/>
      <c r="T23" s="193"/>
      <c r="U23" s="193"/>
      <c r="V23" s="193"/>
      <c r="W23" s="193"/>
      <c r="X23" s="193"/>
      <c r="Y23" s="193"/>
    </row>
    <row r="24" spans="2:25" ht="66.75" hidden="1" customHeight="1" x14ac:dyDescent="0.2">
      <c r="B24" s="187" t="s">
        <v>219</v>
      </c>
      <c r="C24" s="187" t="s">
        <v>237</v>
      </c>
      <c r="D24" s="188"/>
      <c r="E24" s="188"/>
      <c r="F24" s="189" t="s">
        <v>238</v>
      </c>
      <c r="G24" s="194" t="s">
        <v>243</v>
      </c>
      <c r="H24" s="195" t="s">
        <v>67</v>
      </c>
      <c r="I24" s="195">
        <v>2</v>
      </c>
      <c r="J24" s="195">
        <v>5</v>
      </c>
      <c r="K24" s="191" t="s">
        <v>241</v>
      </c>
      <c r="L24" s="205"/>
      <c r="M24" s="193"/>
      <c r="N24" s="193"/>
      <c r="O24" s="193"/>
      <c r="P24" s="193"/>
      <c r="Q24" s="193"/>
      <c r="R24" s="193"/>
      <c r="S24" s="193"/>
      <c r="T24" s="193"/>
      <c r="U24" s="193"/>
      <c r="V24" s="193"/>
      <c r="W24" s="193"/>
      <c r="X24" s="193"/>
      <c r="Y24" s="193"/>
    </row>
    <row r="25" spans="2:25" ht="60.75" hidden="1" customHeight="1" x14ac:dyDescent="0.2">
      <c r="B25" s="187" t="s">
        <v>219</v>
      </c>
      <c r="C25" s="187" t="s">
        <v>237</v>
      </c>
      <c r="D25" s="188"/>
      <c r="E25" s="188"/>
      <c r="F25" s="189" t="s">
        <v>238</v>
      </c>
      <c r="G25" s="194" t="s">
        <v>244</v>
      </c>
      <c r="H25" s="195" t="s">
        <v>67</v>
      </c>
      <c r="I25" s="195">
        <v>4</v>
      </c>
      <c r="J25" s="195">
        <v>4</v>
      </c>
      <c r="K25" s="191" t="s">
        <v>241</v>
      </c>
      <c r="L25" s="205"/>
      <c r="M25" s="193"/>
      <c r="N25" s="193"/>
      <c r="O25" s="193"/>
      <c r="P25" s="193"/>
      <c r="Q25" s="193"/>
      <c r="R25" s="193"/>
      <c r="S25" s="193"/>
      <c r="T25" s="193"/>
      <c r="U25" s="193"/>
      <c r="V25" s="193"/>
      <c r="W25" s="193"/>
      <c r="X25" s="193"/>
      <c r="Y25" s="193"/>
    </row>
    <row r="26" spans="2:25" ht="74.25" hidden="1" customHeight="1" x14ac:dyDescent="0.2">
      <c r="B26" s="187" t="s">
        <v>219</v>
      </c>
      <c r="C26" s="187" t="s">
        <v>237</v>
      </c>
      <c r="D26" s="188"/>
      <c r="E26" s="188"/>
      <c r="F26" s="189" t="s">
        <v>238</v>
      </c>
      <c r="G26" s="194" t="s">
        <v>245</v>
      </c>
      <c r="H26" s="195" t="s">
        <v>67</v>
      </c>
      <c r="I26" s="195">
        <v>292</v>
      </c>
      <c r="J26" s="195">
        <v>600</v>
      </c>
      <c r="K26" s="191" t="s">
        <v>241</v>
      </c>
      <c r="L26" s="205"/>
      <c r="M26" s="193"/>
      <c r="N26" s="193"/>
      <c r="O26" s="193"/>
      <c r="P26" s="193"/>
      <c r="Q26" s="193"/>
      <c r="R26" s="193"/>
      <c r="S26" s="193"/>
      <c r="T26" s="193"/>
      <c r="U26" s="193"/>
      <c r="V26" s="193"/>
      <c r="W26" s="193"/>
      <c r="X26" s="193"/>
      <c r="Y26" s="193"/>
    </row>
    <row r="27" spans="2:25" ht="60.75" hidden="1" customHeight="1" x14ac:dyDescent="0.2">
      <c r="B27" s="187" t="s">
        <v>219</v>
      </c>
      <c r="C27" s="187" t="s">
        <v>237</v>
      </c>
      <c r="D27" s="188"/>
      <c r="E27" s="188"/>
      <c r="F27" s="189" t="s">
        <v>238</v>
      </c>
      <c r="G27" s="194" t="s">
        <v>246</v>
      </c>
      <c r="H27" s="195" t="s">
        <v>67</v>
      </c>
      <c r="I27" s="195">
        <v>0</v>
      </c>
      <c r="J27" s="195">
        <v>150</v>
      </c>
      <c r="K27" s="191" t="s">
        <v>241</v>
      </c>
      <c r="L27" s="205"/>
      <c r="M27" s="193"/>
      <c r="N27" s="193"/>
      <c r="O27" s="193"/>
      <c r="P27" s="193"/>
      <c r="Q27" s="193"/>
      <c r="R27" s="193"/>
      <c r="S27" s="193"/>
      <c r="T27" s="193"/>
      <c r="U27" s="193"/>
      <c r="V27" s="193"/>
      <c r="W27" s="193"/>
      <c r="X27" s="193"/>
      <c r="Y27" s="193"/>
    </row>
    <row r="28" spans="2:25" ht="75.75" hidden="1" customHeight="1" x14ac:dyDescent="0.2">
      <c r="B28" s="187" t="s">
        <v>219</v>
      </c>
      <c r="C28" s="187" t="s">
        <v>237</v>
      </c>
      <c r="D28" s="188"/>
      <c r="E28" s="188"/>
      <c r="F28" s="189" t="s">
        <v>238</v>
      </c>
      <c r="G28" s="194" t="s">
        <v>247</v>
      </c>
      <c r="H28" s="195" t="s">
        <v>67</v>
      </c>
      <c r="I28" s="195">
        <v>0</v>
      </c>
      <c r="J28" s="195">
        <v>7</v>
      </c>
      <c r="K28" s="196" t="s">
        <v>225</v>
      </c>
      <c r="L28" s="205"/>
      <c r="M28" s="206">
        <v>1</v>
      </c>
      <c r="N28" s="206">
        <v>2</v>
      </c>
      <c r="O28" s="206">
        <v>2</v>
      </c>
      <c r="P28" s="199">
        <v>2</v>
      </c>
      <c r="Q28" s="199"/>
      <c r="R28" s="193"/>
      <c r="S28" s="193"/>
      <c r="T28" s="193"/>
      <c r="U28" s="193"/>
      <c r="V28" s="193"/>
      <c r="W28" s="193"/>
      <c r="X28" s="193"/>
      <c r="Y28" s="193"/>
    </row>
    <row r="29" spans="2:25" ht="70.5" hidden="1" customHeight="1" x14ac:dyDescent="0.2">
      <c r="B29" s="187" t="s">
        <v>219</v>
      </c>
      <c r="C29" s="187" t="s">
        <v>237</v>
      </c>
      <c r="D29" s="188"/>
      <c r="E29" s="188"/>
      <c r="F29" s="207" t="s">
        <v>248</v>
      </c>
      <c r="G29" s="194" t="s">
        <v>249</v>
      </c>
      <c r="H29" s="208" t="s">
        <v>250</v>
      </c>
      <c r="I29" s="208">
        <v>1</v>
      </c>
      <c r="J29" s="208">
        <v>1</v>
      </c>
      <c r="K29" s="202" t="s">
        <v>228</v>
      </c>
      <c r="L29" s="205"/>
      <c r="M29" s="193"/>
      <c r="N29" s="193"/>
      <c r="O29" s="193"/>
      <c r="P29" s="193"/>
      <c r="Q29" s="193"/>
      <c r="R29" s="193"/>
      <c r="S29" s="193"/>
      <c r="T29" s="193"/>
      <c r="U29" s="193"/>
      <c r="V29" s="193"/>
      <c r="W29" s="193"/>
      <c r="X29" s="193"/>
      <c r="Y29" s="193"/>
    </row>
    <row r="30" spans="2:25" ht="142.5" hidden="1" customHeight="1" x14ac:dyDescent="0.2">
      <c r="B30" s="187" t="s">
        <v>219</v>
      </c>
      <c r="C30" s="187" t="s">
        <v>237</v>
      </c>
      <c r="D30" s="188"/>
      <c r="E30" s="188"/>
      <c r="F30" s="207" t="s">
        <v>248</v>
      </c>
      <c r="G30" s="209" t="s">
        <v>251</v>
      </c>
      <c r="H30" s="208" t="s">
        <v>252</v>
      </c>
      <c r="I30" s="208">
        <v>0</v>
      </c>
      <c r="J30" s="208">
        <v>250</v>
      </c>
      <c r="K30" s="210" t="s">
        <v>253</v>
      </c>
      <c r="L30" s="205"/>
      <c r="M30" s="193"/>
      <c r="N30" s="193"/>
      <c r="O30" s="193"/>
      <c r="P30" s="193"/>
      <c r="Q30" s="193"/>
      <c r="R30" s="193"/>
      <c r="S30" s="193"/>
      <c r="T30" s="193"/>
      <c r="U30" s="193"/>
      <c r="V30" s="193"/>
      <c r="W30" s="193"/>
      <c r="X30" s="193"/>
      <c r="Y30" s="193"/>
    </row>
    <row r="31" spans="2:25" ht="65.25" hidden="1" customHeight="1" x14ac:dyDescent="0.2">
      <c r="B31" s="187" t="s">
        <v>219</v>
      </c>
      <c r="C31" s="187" t="s">
        <v>237</v>
      </c>
      <c r="D31" s="188"/>
      <c r="E31" s="188"/>
      <c r="F31" s="207" t="s">
        <v>248</v>
      </c>
      <c r="G31" s="209" t="s">
        <v>254</v>
      </c>
      <c r="H31" s="208" t="s">
        <v>67</v>
      </c>
      <c r="I31" s="208">
        <v>0</v>
      </c>
      <c r="J31" s="208">
        <v>30</v>
      </c>
      <c r="K31" s="208" t="s">
        <v>255</v>
      </c>
      <c r="L31" s="205"/>
      <c r="M31" s="193"/>
      <c r="N31" s="193"/>
      <c r="O31" s="193"/>
      <c r="P31" s="193"/>
      <c r="Q31" s="193"/>
      <c r="R31" s="193"/>
      <c r="S31" s="193"/>
      <c r="T31" s="193"/>
      <c r="U31" s="193"/>
      <c r="V31" s="193"/>
      <c r="W31" s="193"/>
      <c r="X31" s="193"/>
      <c r="Y31" s="193"/>
    </row>
    <row r="32" spans="2:25" ht="74.25" hidden="1" customHeight="1" x14ac:dyDescent="0.2">
      <c r="B32" s="187" t="s">
        <v>219</v>
      </c>
      <c r="C32" s="187" t="s">
        <v>237</v>
      </c>
      <c r="D32" s="188"/>
      <c r="E32" s="188"/>
      <c r="F32" s="207" t="s">
        <v>248</v>
      </c>
      <c r="G32" s="209" t="s">
        <v>256</v>
      </c>
      <c r="H32" s="208" t="s">
        <v>67</v>
      </c>
      <c r="I32" s="208">
        <v>0</v>
      </c>
      <c r="J32" s="208">
        <v>1</v>
      </c>
      <c r="K32" s="208" t="s">
        <v>255</v>
      </c>
      <c r="L32" s="205"/>
      <c r="M32" s="193"/>
      <c r="N32" s="193"/>
      <c r="O32" s="193"/>
      <c r="P32" s="193"/>
      <c r="Q32" s="193"/>
      <c r="R32" s="193"/>
      <c r="S32" s="193"/>
      <c r="T32" s="193"/>
      <c r="U32" s="193"/>
      <c r="V32" s="193"/>
      <c r="W32" s="193"/>
      <c r="X32" s="193"/>
      <c r="Y32" s="193"/>
    </row>
    <row r="33" spans="2:25" ht="66.75" hidden="1" customHeight="1" x14ac:dyDescent="0.2">
      <c r="B33" s="187" t="s">
        <v>219</v>
      </c>
      <c r="C33" s="187" t="s">
        <v>237</v>
      </c>
      <c r="D33" s="188"/>
      <c r="E33" s="188"/>
      <c r="F33" s="207" t="s">
        <v>248</v>
      </c>
      <c r="G33" s="211" t="s">
        <v>257</v>
      </c>
      <c r="H33" s="208" t="s">
        <v>67</v>
      </c>
      <c r="I33" s="208">
        <v>0</v>
      </c>
      <c r="J33" s="208">
        <v>1</v>
      </c>
      <c r="K33" s="202" t="s">
        <v>228</v>
      </c>
      <c r="L33" s="205"/>
      <c r="M33" s="193"/>
      <c r="N33" s="193"/>
      <c r="O33" s="193"/>
      <c r="P33" s="193"/>
      <c r="Q33" s="193"/>
      <c r="R33" s="193"/>
      <c r="S33" s="193"/>
      <c r="T33" s="193"/>
      <c r="U33" s="193"/>
      <c r="V33" s="193"/>
      <c r="W33" s="193"/>
      <c r="X33" s="193"/>
      <c r="Y33" s="193"/>
    </row>
    <row r="34" spans="2:25" ht="70.5" hidden="1" customHeight="1" x14ac:dyDescent="0.2">
      <c r="B34" s="187" t="s">
        <v>219</v>
      </c>
      <c r="C34" s="187" t="s">
        <v>237</v>
      </c>
      <c r="D34" s="188"/>
      <c r="E34" s="188"/>
      <c r="F34" s="207" t="s">
        <v>248</v>
      </c>
      <c r="G34" s="209" t="s">
        <v>258</v>
      </c>
      <c r="H34" s="208" t="s">
        <v>259</v>
      </c>
      <c r="I34" s="208">
        <v>6</v>
      </c>
      <c r="J34" s="208">
        <v>1</v>
      </c>
      <c r="K34" s="208" t="s">
        <v>260</v>
      </c>
      <c r="L34" s="205"/>
      <c r="M34" s="193"/>
      <c r="N34" s="193"/>
      <c r="O34" s="193"/>
      <c r="P34" s="193"/>
      <c r="Q34" s="193"/>
      <c r="R34" s="193"/>
      <c r="S34" s="193"/>
      <c r="T34" s="193"/>
      <c r="U34" s="193"/>
      <c r="V34" s="193"/>
      <c r="W34" s="193"/>
      <c r="X34" s="193"/>
      <c r="Y34" s="193"/>
    </row>
    <row r="35" spans="2:25" ht="90" hidden="1" customHeight="1" x14ac:dyDescent="0.2">
      <c r="B35" s="187" t="s">
        <v>219</v>
      </c>
      <c r="C35" s="187" t="s">
        <v>261</v>
      </c>
      <c r="D35" s="188"/>
      <c r="E35" s="188"/>
      <c r="F35" s="189" t="s">
        <v>262</v>
      </c>
      <c r="G35" s="209" t="s">
        <v>263</v>
      </c>
      <c r="H35" s="209" t="s">
        <v>67</v>
      </c>
      <c r="I35" s="208">
        <v>1740</v>
      </c>
      <c r="J35" s="208">
        <v>1900</v>
      </c>
      <c r="K35" s="208" t="s">
        <v>264</v>
      </c>
      <c r="L35" s="205"/>
      <c r="M35" s="193"/>
      <c r="N35" s="193"/>
      <c r="O35" s="193"/>
      <c r="P35" s="193"/>
      <c r="Q35" s="193"/>
      <c r="R35" s="193"/>
      <c r="S35" s="193"/>
      <c r="T35" s="193"/>
      <c r="U35" s="193"/>
      <c r="V35" s="193"/>
      <c r="W35" s="193"/>
      <c r="X35" s="193"/>
      <c r="Y35" s="193"/>
    </row>
    <row r="36" spans="2:25" ht="68.25" hidden="1" customHeight="1" x14ac:dyDescent="0.2">
      <c r="B36" s="187" t="s">
        <v>219</v>
      </c>
      <c r="C36" s="187" t="s">
        <v>261</v>
      </c>
      <c r="D36" s="188"/>
      <c r="E36" s="188"/>
      <c r="F36" s="189" t="s">
        <v>262</v>
      </c>
      <c r="G36" s="209" t="s">
        <v>265</v>
      </c>
      <c r="H36" s="209" t="s">
        <v>67</v>
      </c>
      <c r="I36" s="208">
        <v>0</v>
      </c>
      <c r="J36" s="208">
        <v>1</v>
      </c>
      <c r="K36" s="208" t="s">
        <v>264</v>
      </c>
      <c r="L36" s="205"/>
      <c r="M36" s="193"/>
      <c r="N36" s="193"/>
      <c r="O36" s="193"/>
      <c r="P36" s="193"/>
      <c r="Q36" s="193"/>
      <c r="R36" s="193"/>
      <c r="S36" s="193"/>
      <c r="T36" s="193"/>
      <c r="U36" s="193"/>
      <c r="V36" s="193"/>
      <c r="W36" s="193"/>
      <c r="X36" s="193"/>
      <c r="Y36" s="193"/>
    </row>
    <row r="37" spans="2:25" ht="70.5" hidden="1" customHeight="1" x14ac:dyDescent="0.2">
      <c r="B37" s="187" t="s">
        <v>219</v>
      </c>
      <c r="C37" s="187" t="s">
        <v>261</v>
      </c>
      <c r="D37" s="188"/>
      <c r="E37" s="188"/>
      <c r="F37" s="189" t="s">
        <v>262</v>
      </c>
      <c r="G37" s="209" t="s">
        <v>266</v>
      </c>
      <c r="H37" s="209" t="s">
        <v>67</v>
      </c>
      <c r="I37" s="208">
        <v>1740</v>
      </c>
      <c r="J37" s="208">
        <v>1900</v>
      </c>
      <c r="K37" s="208" t="s">
        <v>264</v>
      </c>
      <c r="L37" s="205"/>
      <c r="M37" s="193"/>
      <c r="N37" s="193"/>
      <c r="O37" s="193"/>
      <c r="P37" s="193"/>
      <c r="Q37" s="193"/>
      <c r="R37" s="193"/>
      <c r="S37" s="193"/>
      <c r="T37" s="193"/>
      <c r="U37" s="193"/>
      <c r="V37" s="193"/>
      <c r="W37" s="193"/>
      <c r="X37" s="193"/>
      <c r="Y37" s="193"/>
    </row>
    <row r="38" spans="2:25" ht="61.5" hidden="1" customHeight="1" x14ac:dyDescent="0.2">
      <c r="B38" s="187" t="s">
        <v>219</v>
      </c>
      <c r="C38" s="187" t="s">
        <v>261</v>
      </c>
      <c r="D38" s="188"/>
      <c r="E38" s="188"/>
      <c r="F38" s="189" t="s">
        <v>262</v>
      </c>
      <c r="G38" s="209" t="s">
        <v>267</v>
      </c>
      <c r="H38" s="209" t="s">
        <v>250</v>
      </c>
      <c r="I38" s="208">
        <v>1</v>
      </c>
      <c r="J38" s="208">
        <v>1</v>
      </c>
      <c r="K38" s="208" t="s">
        <v>264</v>
      </c>
      <c r="L38" s="205"/>
      <c r="M38" s="193"/>
      <c r="N38" s="193"/>
      <c r="O38" s="193"/>
      <c r="P38" s="193"/>
      <c r="Q38" s="193"/>
      <c r="R38" s="193"/>
      <c r="S38" s="193"/>
      <c r="T38" s="193"/>
      <c r="U38" s="193"/>
      <c r="V38" s="193"/>
      <c r="W38" s="193"/>
      <c r="X38" s="193"/>
      <c r="Y38" s="193"/>
    </row>
    <row r="39" spans="2:25" ht="63" hidden="1" customHeight="1" x14ac:dyDescent="0.2">
      <c r="B39" s="187" t="s">
        <v>219</v>
      </c>
      <c r="C39" s="187" t="s">
        <v>261</v>
      </c>
      <c r="D39" s="188"/>
      <c r="E39" s="188"/>
      <c r="F39" s="189" t="s">
        <v>268</v>
      </c>
      <c r="G39" s="209" t="s">
        <v>269</v>
      </c>
      <c r="H39" s="208" t="s">
        <v>67</v>
      </c>
      <c r="I39" s="208">
        <v>0</v>
      </c>
      <c r="J39" s="208">
        <v>1</v>
      </c>
      <c r="K39" s="208" t="s">
        <v>264</v>
      </c>
      <c r="L39" s="205"/>
      <c r="M39" s="193"/>
      <c r="N39" s="193"/>
      <c r="O39" s="193"/>
      <c r="P39" s="193"/>
      <c r="Q39" s="193"/>
      <c r="R39" s="193"/>
      <c r="S39" s="193"/>
      <c r="T39" s="193"/>
      <c r="U39" s="193"/>
      <c r="V39" s="193"/>
      <c r="W39" s="193"/>
      <c r="X39" s="193"/>
      <c r="Y39" s="193"/>
    </row>
    <row r="40" spans="2:25" ht="65.25" hidden="1" customHeight="1" x14ac:dyDescent="0.2">
      <c r="B40" s="187" t="s">
        <v>219</v>
      </c>
      <c r="C40" s="187" t="s">
        <v>261</v>
      </c>
      <c r="D40" s="188"/>
      <c r="E40" s="188"/>
      <c r="F40" s="189" t="s">
        <v>268</v>
      </c>
      <c r="G40" s="209" t="s">
        <v>270</v>
      </c>
      <c r="H40" s="208" t="s">
        <v>67</v>
      </c>
      <c r="I40" s="208">
        <v>0</v>
      </c>
      <c r="J40" s="208">
        <v>2</v>
      </c>
      <c r="K40" s="208" t="s">
        <v>271</v>
      </c>
      <c r="L40" s="205"/>
      <c r="M40" s="193"/>
      <c r="N40" s="193"/>
      <c r="O40" s="193"/>
      <c r="P40" s="193"/>
      <c r="Q40" s="193"/>
      <c r="R40" s="193"/>
      <c r="S40" s="193"/>
      <c r="T40" s="193"/>
      <c r="U40" s="193"/>
      <c r="V40" s="193"/>
      <c r="W40" s="193"/>
      <c r="X40" s="193"/>
      <c r="Y40" s="193"/>
    </row>
    <row r="41" spans="2:25" ht="75" hidden="1" customHeight="1" x14ac:dyDescent="0.2">
      <c r="B41" s="187" t="s">
        <v>219</v>
      </c>
      <c r="C41" s="187" t="s">
        <v>261</v>
      </c>
      <c r="D41" s="188"/>
      <c r="E41" s="188"/>
      <c r="F41" s="189" t="s">
        <v>268</v>
      </c>
      <c r="G41" s="209" t="s">
        <v>272</v>
      </c>
      <c r="H41" s="208" t="s">
        <v>67</v>
      </c>
      <c r="I41" s="208">
        <v>0</v>
      </c>
      <c r="J41" s="208">
        <v>3</v>
      </c>
      <c r="K41" s="208" t="s">
        <v>264</v>
      </c>
      <c r="L41" s="205"/>
      <c r="M41" s="193"/>
      <c r="N41" s="193"/>
      <c r="O41" s="193"/>
      <c r="P41" s="193"/>
      <c r="Q41" s="193"/>
      <c r="R41" s="193"/>
      <c r="S41" s="193"/>
      <c r="T41" s="193"/>
      <c r="U41" s="193"/>
      <c r="V41" s="193"/>
      <c r="W41" s="193"/>
      <c r="X41" s="193"/>
      <c r="Y41" s="193"/>
    </row>
    <row r="42" spans="2:25" ht="64.5" hidden="1" customHeight="1" x14ac:dyDescent="0.2">
      <c r="B42" s="187" t="s">
        <v>219</v>
      </c>
      <c r="C42" s="187" t="s">
        <v>261</v>
      </c>
      <c r="D42" s="188"/>
      <c r="E42" s="188"/>
      <c r="F42" s="189" t="s">
        <v>268</v>
      </c>
      <c r="G42" s="209" t="s">
        <v>273</v>
      </c>
      <c r="H42" s="208" t="s">
        <v>67</v>
      </c>
      <c r="I42" s="208">
        <v>0</v>
      </c>
      <c r="J42" s="208">
        <v>1</v>
      </c>
      <c r="K42" s="196" t="s">
        <v>225</v>
      </c>
      <c r="L42" s="205"/>
      <c r="M42" s="206"/>
      <c r="N42" s="206"/>
      <c r="O42" s="206"/>
      <c r="P42" s="199">
        <v>1</v>
      </c>
      <c r="Q42" s="199"/>
      <c r="R42" s="193"/>
      <c r="S42" s="193"/>
      <c r="T42" s="193"/>
      <c r="U42" s="193"/>
      <c r="V42" s="193"/>
      <c r="W42" s="193"/>
      <c r="X42" s="193"/>
      <c r="Y42" s="193"/>
    </row>
    <row r="43" spans="2:25" ht="66.75" hidden="1" customHeight="1" x14ac:dyDescent="0.2">
      <c r="B43" s="187" t="s">
        <v>219</v>
      </c>
      <c r="C43" s="187" t="s">
        <v>261</v>
      </c>
      <c r="D43" s="188"/>
      <c r="E43" s="188"/>
      <c r="F43" s="189" t="s">
        <v>274</v>
      </c>
      <c r="G43" s="212" t="s">
        <v>275</v>
      </c>
      <c r="H43" s="191" t="s">
        <v>67</v>
      </c>
      <c r="I43" s="191">
        <v>1</v>
      </c>
      <c r="J43" s="191">
        <v>1</v>
      </c>
      <c r="K43" s="191" t="s">
        <v>264</v>
      </c>
      <c r="L43" s="205"/>
      <c r="M43" s="193"/>
      <c r="N43" s="193"/>
      <c r="O43" s="193"/>
      <c r="P43" s="193"/>
      <c r="Q43" s="193"/>
      <c r="R43" s="193"/>
      <c r="S43" s="193"/>
      <c r="T43" s="193"/>
      <c r="U43" s="193"/>
      <c r="V43" s="193"/>
      <c r="W43" s="193"/>
      <c r="X43" s="193"/>
      <c r="Y43" s="193"/>
    </row>
    <row r="44" spans="2:25" ht="68.25" hidden="1" customHeight="1" x14ac:dyDescent="0.2">
      <c r="B44" s="187" t="s">
        <v>219</v>
      </c>
      <c r="C44" s="187" t="s">
        <v>261</v>
      </c>
      <c r="D44" s="188"/>
      <c r="E44" s="188"/>
      <c r="F44" s="189" t="s">
        <v>274</v>
      </c>
      <c r="G44" s="212" t="s">
        <v>276</v>
      </c>
      <c r="H44" s="191" t="s">
        <v>67</v>
      </c>
      <c r="I44" s="191">
        <v>1</v>
      </c>
      <c r="J44" s="191">
        <v>1</v>
      </c>
      <c r="K44" s="191" t="s">
        <v>264</v>
      </c>
      <c r="L44" s="205"/>
      <c r="M44" s="193"/>
      <c r="N44" s="193"/>
      <c r="O44" s="193"/>
      <c r="P44" s="193"/>
      <c r="Q44" s="193"/>
      <c r="R44" s="193"/>
      <c r="S44" s="193"/>
      <c r="T44" s="193"/>
      <c r="U44" s="193"/>
      <c r="V44" s="193"/>
      <c r="W44" s="193"/>
      <c r="X44" s="193"/>
      <c r="Y44" s="193"/>
    </row>
    <row r="45" spans="2:25" ht="68.25" hidden="1" customHeight="1" x14ac:dyDescent="0.2">
      <c r="B45" s="187" t="s">
        <v>219</v>
      </c>
      <c r="C45" s="187" t="s">
        <v>261</v>
      </c>
      <c r="D45" s="188"/>
      <c r="E45" s="188"/>
      <c r="F45" s="189" t="s">
        <v>274</v>
      </c>
      <c r="G45" s="212" t="s">
        <v>277</v>
      </c>
      <c r="H45" s="191" t="s">
        <v>67</v>
      </c>
      <c r="I45" s="191">
        <v>0</v>
      </c>
      <c r="J45" s="191">
        <v>1</v>
      </c>
      <c r="K45" s="191" t="s">
        <v>264</v>
      </c>
      <c r="L45" s="205"/>
      <c r="M45" s="193"/>
      <c r="N45" s="193"/>
      <c r="O45" s="193"/>
      <c r="P45" s="193"/>
      <c r="Q45" s="193"/>
      <c r="R45" s="193"/>
      <c r="S45" s="193"/>
      <c r="T45" s="193"/>
      <c r="U45" s="193"/>
      <c r="V45" s="193"/>
      <c r="W45" s="193"/>
      <c r="X45" s="193"/>
      <c r="Y45" s="193"/>
    </row>
    <row r="46" spans="2:25" ht="63" hidden="1" customHeight="1" x14ac:dyDescent="0.2">
      <c r="B46" s="187" t="s">
        <v>219</v>
      </c>
      <c r="C46" s="187" t="s">
        <v>261</v>
      </c>
      <c r="D46" s="188"/>
      <c r="E46" s="188"/>
      <c r="F46" s="189" t="s">
        <v>274</v>
      </c>
      <c r="G46" s="212" t="s">
        <v>278</v>
      </c>
      <c r="H46" s="191" t="s">
        <v>250</v>
      </c>
      <c r="I46" s="191">
        <v>1</v>
      </c>
      <c r="J46" s="191">
        <v>5</v>
      </c>
      <c r="K46" s="191" t="s">
        <v>264</v>
      </c>
      <c r="L46" s="205"/>
      <c r="M46" s="193"/>
      <c r="N46" s="193"/>
      <c r="O46" s="193"/>
      <c r="P46" s="193"/>
      <c r="Q46" s="193"/>
      <c r="R46" s="193"/>
      <c r="S46" s="193"/>
      <c r="T46" s="193"/>
      <c r="U46" s="193"/>
      <c r="V46" s="193"/>
      <c r="W46" s="193"/>
      <c r="X46" s="193"/>
      <c r="Y46" s="193"/>
    </row>
    <row r="47" spans="2:25" ht="60.75" hidden="1" customHeight="1" x14ac:dyDescent="0.2">
      <c r="B47" s="187" t="s">
        <v>219</v>
      </c>
      <c r="C47" s="187" t="s">
        <v>261</v>
      </c>
      <c r="D47" s="188"/>
      <c r="E47" s="188"/>
      <c r="F47" s="189" t="s">
        <v>274</v>
      </c>
      <c r="G47" s="212" t="s">
        <v>279</v>
      </c>
      <c r="H47" s="191" t="s">
        <v>67</v>
      </c>
      <c r="I47" s="191">
        <v>0</v>
      </c>
      <c r="J47" s="191">
        <v>1</v>
      </c>
      <c r="K47" s="196" t="s">
        <v>225</v>
      </c>
      <c r="L47" s="205"/>
      <c r="M47" s="206"/>
      <c r="N47" s="206"/>
      <c r="O47" s="206">
        <v>1</v>
      </c>
      <c r="P47" s="199"/>
      <c r="Q47" s="199"/>
      <c r="R47" s="193"/>
      <c r="S47" s="193"/>
      <c r="T47" s="193"/>
      <c r="U47" s="193"/>
      <c r="V47" s="193"/>
      <c r="W47" s="193"/>
      <c r="X47" s="193"/>
      <c r="Y47" s="193"/>
    </row>
    <row r="48" spans="2:25" ht="60" hidden="1" customHeight="1" x14ac:dyDescent="0.2">
      <c r="B48" s="187" t="s">
        <v>219</v>
      </c>
      <c r="C48" s="187" t="s">
        <v>280</v>
      </c>
      <c r="D48" s="188"/>
      <c r="E48" s="188"/>
      <c r="F48" s="189" t="s">
        <v>281</v>
      </c>
      <c r="G48" s="212" t="s">
        <v>282</v>
      </c>
      <c r="H48" s="191" t="s">
        <v>67</v>
      </c>
      <c r="I48" s="191">
        <v>14</v>
      </c>
      <c r="J48" s="191">
        <v>14</v>
      </c>
      <c r="K48" s="191" t="s">
        <v>283</v>
      </c>
      <c r="L48" s="205"/>
      <c r="M48" s="193"/>
      <c r="N48" s="193"/>
      <c r="O48" s="193"/>
      <c r="P48" s="193"/>
      <c r="Q48" s="193"/>
      <c r="R48" s="193"/>
      <c r="S48" s="193"/>
      <c r="T48" s="193"/>
      <c r="U48" s="193"/>
      <c r="V48" s="193"/>
      <c r="W48" s="193"/>
      <c r="X48" s="193"/>
      <c r="Y48" s="193"/>
    </row>
    <row r="49" spans="2:25" ht="75" hidden="1" customHeight="1" x14ac:dyDescent="0.2">
      <c r="B49" s="187" t="s">
        <v>219</v>
      </c>
      <c r="C49" s="187" t="s">
        <v>280</v>
      </c>
      <c r="D49" s="188"/>
      <c r="E49" s="188"/>
      <c r="F49" s="189" t="s">
        <v>281</v>
      </c>
      <c r="G49" s="212" t="s">
        <v>284</v>
      </c>
      <c r="H49" s="191" t="s">
        <v>67</v>
      </c>
      <c r="I49" s="191">
        <v>2</v>
      </c>
      <c r="J49" s="191">
        <v>5</v>
      </c>
      <c r="K49" s="191" t="s">
        <v>283</v>
      </c>
      <c r="L49" s="205"/>
      <c r="M49" s="193"/>
      <c r="N49" s="193"/>
      <c r="O49" s="193"/>
      <c r="P49" s="193"/>
      <c r="Q49" s="193"/>
      <c r="R49" s="193"/>
      <c r="S49" s="193"/>
      <c r="T49" s="193"/>
      <c r="U49" s="193"/>
      <c r="V49" s="193"/>
      <c r="W49" s="193"/>
      <c r="X49" s="193"/>
      <c r="Y49" s="193"/>
    </row>
    <row r="50" spans="2:25" ht="60" hidden="1" customHeight="1" x14ac:dyDescent="0.2">
      <c r="B50" s="187" t="s">
        <v>219</v>
      </c>
      <c r="C50" s="187" t="s">
        <v>280</v>
      </c>
      <c r="D50" s="188"/>
      <c r="E50" s="188"/>
      <c r="F50" s="189" t="s">
        <v>281</v>
      </c>
      <c r="G50" s="212" t="s">
        <v>285</v>
      </c>
      <c r="H50" s="191" t="s">
        <v>67</v>
      </c>
      <c r="I50" s="191">
        <v>4</v>
      </c>
      <c r="J50" s="191">
        <v>2</v>
      </c>
      <c r="K50" s="191" t="s">
        <v>283</v>
      </c>
      <c r="L50" s="205"/>
      <c r="M50" s="193"/>
      <c r="N50" s="193"/>
      <c r="O50" s="193"/>
      <c r="P50" s="193"/>
      <c r="Q50" s="193"/>
      <c r="R50" s="193"/>
      <c r="S50" s="193"/>
      <c r="T50" s="193"/>
      <c r="U50" s="193"/>
      <c r="V50" s="193"/>
      <c r="W50" s="193"/>
      <c r="X50" s="193"/>
      <c r="Y50" s="193"/>
    </row>
    <row r="51" spans="2:25" ht="48.75" hidden="1" customHeight="1" x14ac:dyDescent="0.25">
      <c r="B51" s="187" t="s">
        <v>219</v>
      </c>
      <c r="C51" s="213" t="s">
        <v>286</v>
      </c>
      <c r="D51" s="214"/>
      <c r="E51" s="214"/>
      <c r="F51" s="189" t="s">
        <v>287</v>
      </c>
      <c r="G51" s="212" t="s">
        <v>288</v>
      </c>
      <c r="H51" s="212" t="s">
        <v>250</v>
      </c>
      <c r="I51" s="191">
        <v>0</v>
      </c>
      <c r="J51" s="191">
        <v>1</v>
      </c>
      <c r="K51" s="202" t="s">
        <v>228</v>
      </c>
      <c r="L51" s="205"/>
      <c r="M51" s="193"/>
      <c r="N51" s="193"/>
      <c r="O51" s="193"/>
      <c r="P51" s="193"/>
      <c r="Q51" s="193"/>
      <c r="R51" s="193"/>
      <c r="S51" s="193"/>
      <c r="T51" s="193"/>
      <c r="U51" s="193"/>
      <c r="V51" s="193"/>
      <c r="W51" s="193"/>
      <c r="X51" s="193"/>
      <c r="Y51" s="193"/>
    </row>
    <row r="52" spans="2:25" ht="48" hidden="1" customHeight="1" x14ac:dyDescent="0.25">
      <c r="B52" s="187" t="s">
        <v>219</v>
      </c>
      <c r="C52" s="213" t="s">
        <v>286</v>
      </c>
      <c r="D52" s="214"/>
      <c r="E52" s="214"/>
      <c r="F52" s="189" t="s">
        <v>287</v>
      </c>
      <c r="G52" s="212" t="s">
        <v>289</v>
      </c>
      <c r="H52" s="212" t="s">
        <v>259</v>
      </c>
      <c r="I52" s="191">
        <v>1</v>
      </c>
      <c r="J52" s="191">
        <v>3</v>
      </c>
      <c r="K52" s="202" t="s">
        <v>228</v>
      </c>
      <c r="L52" s="205"/>
      <c r="M52" s="193"/>
      <c r="N52" s="193"/>
      <c r="O52" s="193"/>
      <c r="P52" s="193"/>
      <c r="Q52" s="193"/>
      <c r="R52" s="193"/>
      <c r="S52" s="193"/>
      <c r="T52" s="193"/>
      <c r="U52" s="193"/>
      <c r="V52" s="193"/>
      <c r="W52" s="193"/>
      <c r="X52" s="193"/>
      <c r="Y52" s="193"/>
    </row>
    <row r="53" spans="2:25" ht="65.25" hidden="1" customHeight="1" x14ac:dyDescent="0.25">
      <c r="B53" s="187" t="s">
        <v>219</v>
      </c>
      <c r="C53" s="213" t="s">
        <v>286</v>
      </c>
      <c r="D53" s="214"/>
      <c r="E53" s="214"/>
      <c r="F53" s="189" t="s">
        <v>287</v>
      </c>
      <c r="G53" s="212" t="s">
        <v>290</v>
      </c>
      <c r="H53" s="212" t="s">
        <v>67</v>
      </c>
      <c r="I53" s="215">
        <v>1156</v>
      </c>
      <c r="J53" s="215">
        <v>46250</v>
      </c>
      <c r="K53" s="202" t="s">
        <v>228</v>
      </c>
      <c r="L53" s="205"/>
      <c r="M53" s="193"/>
      <c r="N53" s="193"/>
      <c r="O53" s="193"/>
      <c r="P53" s="193"/>
      <c r="Q53" s="193"/>
      <c r="R53" s="193"/>
      <c r="S53" s="193"/>
      <c r="T53" s="193"/>
      <c r="U53" s="193"/>
      <c r="V53" s="193"/>
      <c r="W53" s="193"/>
      <c r="X53" s="193"/>
      <c r="Y53" s="193"/>
    </row>
    <row r="54" spans="2:25" ht="105" hidden="1" customHeight="1" x14ac:dyDescent="0.25">
      <c r="B54" s="187" t="s">
        <v>219</v>
      </c>
      <c r="C54" s="213" t="s">
        <v>286</v>
      </c>
      <c r="D54" s="214"/>
      <c r="E54" s="214"/>
      <c r="F54" s="189" t="s">
        <v>291</v>
      </c>
      <c r="G54" s="209" t="s">
        <v>292</v>
      </c>
      <c r="H54" s="208" t="s">
        <v>67</v>
      </c>
      <c r="I54" s="208">
        <v>0</v>
      </c>
      <c r="J54" s="208">
        <v>1</v>
      </c>
      <c r="K54" s="202" t="s">
        <v>228</v>
      </c>
      <c r="L54" s="205"/>
      <c r="M54" s="193"/>
      <c r="N54" s="193"/>
      <c r="O54" s="193"/>
      <c r="P54" s="193"/>
      <c r="Q54" s="193"/>
      <c r="R54" s="193"/>
      <c r="S54" s="193"/>
      <c r="T54" s="193"/>
      <c r="U54" s="193"/>
      <c r="V54" s="193"/>
      <c r="W54" s="193"/>
      <c r="X54" s="193"/>
      <c r="Y54" s="193"/>
    </row>
    <row r="55" spans="2:25" ht="90" hidden="1" customHeight="1" x14ac:dyDescent="0.25">
      <c r="B55" s="187" t="s">
        <v>219</v>
      </c>
      <c r="C55" s="213" t="s">
        <v>286</v>
      </c>
      <c r="D55" s="214"/>
      <c r="E55" s="214"/>
      <c r="F55" s="189" t="s">
        <v>291</v>
      </c>
      <c r="G55" s="209" t="s">
        <v>293</v>
      </c>
      <c r="H55" s="208" t="s">
        <v>67</v>
      </c>
      <c r="I55" s="208">
        <v>0</v>
      </c>
      <c r="J55" s="208">
        <v>1</v>
      </c>
      <c r="K55" s="202" t="s">
        <v>228</v>
      </c>
      <c r="L55" s="205"/>
      <c r="M55" s="193"/>
      <c r="N55" s="193"/>
      <c r="O55" s="193"/>
      <c r="P55" s="193"/>
      <c r="Q55" s="193"/>
      <c r="R55" s="193"/>
      <c r="S55" s="193"/>
      <c r="T55" s="193"/>
      <c r="U55" s="193"/>
      <c r="V55" s="193"/>
      <c r="W55" s="193"/>
      <c r="X55" s="193"/>
      <c r="Y55" s="193"/>
    </row>
    <row r="56" spans="2:25" ht="59.25" hidden="1" customHeight="1" x14ac:dyDescent="0.25">
      <c r="B56" s="187" t="s">
        <v>219</v>
      </c>
      <c r="C56" s="213" t="s">
        <v>286</v>
      </c>
      <c r="D56" s="214"/>
      <c r="E56" s="214"/>
      <c r="F56" s="189" t="s">
        <v>291</v>
      </c>
      <c r="G56" s="209" t="s">
        <v>294</v>
      </c>
      <c r="H56" s="208" t="s">
        <v>67</v>
      </c>
      <c r="I56" s="208">
        <v>0</v>
      </c>
      <c r="J56" s="208">
        <v>1</v>
      </c>
      <c r="K56" s="202" t="s">
        <v>228</v>
      </c>
      <c r="L56" s="205"/>
      <c r="M56" s="193"/>
      <c r="N56" s="193"/>
      <c r="O56" s="193"/>
      <c r="P56" s="193"/>
      <c r="Q56" s="193"/>
      <c r="R56" s="193"/>
      <c r="S56" s="193"/>
      <c r="T56" s="193"/>
      <c r="U56" s="193"/>
      <c r="V56" s="193"/>
      <c r="W56" s="193"/>
      <c r="X56" s="193"/>
      <c r="Y56" s="193"/>
    </row>
    <row r="57" spans="2:25" ht="115.5" hidden="1" customHeight="1" x14ac:dyDescent="0.2">
      <c r="B57" s="187" t="s">
        <v>219</v>
      </c>
      <c r="C57" s="187" t="s">
        <v>286</v>
      </c>
      <c r="D57" s="188"/>
      <c r="E57" s="188"/>
      <c r="F57" s="189" t="s">
        <v>291</v>
      </c>
      <c r="G57" s="209" t="s">
        <v>295</v>
      </c>
      <c r="H57" s="208" t="s">
        <v>67</v>
      </c>
      <c r="I57" s="208">
        <v>0</v>
      </c>
      <c r="J57" s="208">
        <v>6</v>
      </c>
      <c r="K57" s="202" t="s">
        <v>228</v>
      </c>
      <c r="L57" s="205"/>
      <c r="M57" s="193"/>
      <c r="N57" s="193"/>
      <c r="O57" s="193"/>
      <c r="P57" s="193"/>
      <c r="Q57" s="193"/>
      <c r="R57" s="193"/>
      <c r="S57" s="193"/>
      <c r="T57" s="193"/>
      <c r="U57" s="193"/>
      <c r="V57" s="193"/>
      <c r="W57" s="193"/>
      <c r="X57" s="193"/>
      <c r="Y57" s="193"/>
    </row>
    <row r="58" spans="2:25" ht="48.75" hidden="1" customHeight="1" x14ac:dyDescent="0.25">
      <c r="B58" s="187" t="s">
        <v>219</v>
      </c>
      <c r="C58" s="213" t="s">
        <v>286</v>
      </c>
      <c r="D58" s="214"/>
      <c r="E58" s="214"/>
      <c r="F58" s="189" t="s">
        <v>291</v>
      </c>
      <c r="G58" s="209" t="s">
        <v>296</v>
      </c>
      <c r="H58" s="208" t="s">
        <v>67</v>
      </c>
      <c r="I58" s="208">
        <v>0</v>
      </c>
      <c r="J58" s="208">
        <v>13</v>
      </c>
      <c r="K58" s="208" t="s">
        <v>297</v>
      </c>
      <c r="L58" s="205"/>
      <c r="M58" s="193"/>
      <c r="N58" s="193"/>
      <c r="O58" s="193"/>
      <c r="P58" s="193"/>
      <c r="Q58" s="193"/>
      <c r="R58" s="193"/>
      <c r="S58" s="193"/>
      <c r="T58" s="193"/>
      <c r="U58" s="193"/>
      <c r="V58" s="193"/>
      <c r="W58" s="193"/>
      <c r="X58" s="193"/>
      <c r="Y58" s="193"/>
    </row>
    <row r="59" spans="2:25" ht="83.25" hidden="1" customHeight="1" x14ac:dyDescent="0.25">
      <c r="B59" s="187" t="s">
        <v>219</v>
      </c>
      <c r="C59" s="213" t="s">
        <v>286</v>
      </c>
      <c r="D59" s="214"/>
      <c r="E59" s="214"/>
      <c r="F59" s="189" t="s">
        <v>291</v>
      </c>
      <c r="G59" s="209" t="s">
        <v>298</v>
      </c>
      <c r="H59" s="208" t="s">
        <v>67</v>
      </c>
      <c r="I59" s="208">
        <v>1</v>
      </c>
      <c r="J59" s="208">
        <v>1</v>
      </c>
      <c r="K59" s="210" t="s">
        <v>253</v>
      </c>
      <c r="L59" s="205"/>
      <c r="M59" s="193"/>
      <c r="N59" s="193"/>
      <c r="O59" s="193"/>
      <c r="P59" s="193"/>
      <c r="Q59" s="193"/>
      <c r="R59" s="193"/>
      <c r="S59" s="193"/>
      <c r="T59" s="193"/>
      <c r="U59" s="193"/>
      <c r="V59" s="193"/>
      <c r="W59" s="193"/>
      <c r="X59" s="193"/>
      <c r="Y59" s="193"/>
    </row>
    <row r="60" spans="2:25" ht="96.75" hidden="1" customHeight="1" x14ac:dyDescent="0.25">
      <c r="B60" s="187" t="s">
        <v>219</v>
      </c>
      <c r="C60" s="213" t="s">
        <v>286</v>
      </c>
      <c r="D60" s="214"/>
      <c r="E60" s="214"/>
      <c r="F60" s="189" t="s">
        <v>291</v>
      </c>
      <c r="G60" s="209" t="s">
        <v>299</v>
      </c>
      <c r="H60" s="208" t="s">
        <v>67</v>
      </c>
      <c r="I60" s="208">
        <v>2</v>
      </c>
      <c r="J60" s="208">
        <v>2</v>
      </c>
      <c r="K60" s="210" t="s">
        <v>253</v>
      </c>
      <c r="L60" s="205"/>
      <c r="M60" s="193"/>
      <c r="N60" s="193"/>
      <c r="O60" s="193"/>
      <c r="P60" s="193"/>
      <c r="Q60" s="193"/>
      <c r="R60" s="193"/>
      <c r="S60" s="193"/>
      <c r="T60" s="193"/>
      <c r="U60" s="193"/>
      <c r="V60" s="193"/>
      <c r="W60" s="193"/>
      <c r="X60" s="193"/>
      <c r="Y60" s="193"/>
    </row>
    <row r="61" spans="2:25" ht="84.75" hidden="1" customHeight="1" x14ac:dyDescent="0.25">
      <c r="B61" s="187" t="s">
        <v>219</v>
      </c>
      <c r="C61" s="213" t="s">
        <v>286</v>
      </c>
      <c r="D61" s="214"/>
      <c r="E61" s="214"/>
      <c r="F61" s="189" t="s">
        <v>291</v>
      </c>
      <c r="G61" s="209" t="s">
        <v>300</v>
      </c>
      <c r="H61" s="208" t="s">
        <v>67</v>
      </c>
      <c r="I61" s="208">
        <v>1</v>
      </c>
      <c r="J61" s="208">
        <v>1</v>
      </c>
      <c r="K61" s="210" t="s">
        <v>253</v>
      </c>
      <c r="L61" s="205"/>
      <c r="M61" s="193"/>
      <c r="N61" s="193"/>
      <c r="O61" s="193"/>
      <c r="P61" s="193"/>
      <c r="Q61" s="193"/>
      <c r="R61" s="193"/>
      <c r="S61" s="193"/>
      <c r="T61" s="193"/>
      <c r="U61" s="193"/>
      <c r="V61" s="193"/>
      <c r="W61" s="193"/>
      <c r="X61" s="193"/>
      <c r="Y61" s="193"/>
    </row>
    <row r="62" spans="2:25" ht="77.25" hidden="1" customHeight="1" x14ac:dyDescent="0.25">
      <c r="B62" s="187" t="s">
        <v>219</v>
      </c>
      <c r="C62" s="213" t="s">
        <v>286</v>
      </c>
      <c r="D62" s="214"/>
      <c r="E62" s="214"/>
      <c r="F62" s="189" t="s">
        <v>291</v>
      </c>
      <c r="G62" s="209" t="s">
        <v>301</v>
      </c>
      <c r="H62" s="208" t="s">
        <v>67</v>
      </c>
      <c r="I62" s="208">
        <v>5</v>
      </c>
      <c r="J62" s="208">
        <v>7</v>
      </c>
      <c r="K62" s="210" t="s">
        <v>253</v>
      </c>
      <c r="L62" s="205"/>
      <c r="M62" s="193"/>
      <c r="N62" s="193"/>
      <c r="O62" s="193"/>
      <c r="P62" s="193"/>
      <c r="Q62" s="193"/>
      <c r="R62" s="193"/>
      <c r="S62" s="193"/>
      <c r="T62" s="193"/>
      <c r="U62" s="193"/>
      <c r="V62" s="193"/>
      <c r="W62" s="193"/>
      <c r="X62" s="193"/>
      <c r="Y62" s="193"/>
    </row>
    <row r="63" spans="2:25" ht="75.75" hidden="1" customHeight="1" x14ac:dyDescent="0.25">
      <c r="B63" s="187" t="s">
        <v>219</v>
      </c>
      <c r="C63" s="213" t="s">
        <v>286</v>
      </c>
      <c r="D63" s="214"/>
      <c r="E63" s="214"/>
      <c r="F63" s="189" t="s">
        <v>291</v>
      </c>
      <c r="G63" s="209" t="s">
        <v>302</v>
      </c>
      <c r="H63" s="208" t="s">
        <v>67</v>
      </c>
      <c r="I63" s="208">
        <v>4740</v>
      </c>
      <c r="J63" s="208">
        <v>5000</v>
      </c>
      <c r="K63" s="210" t="s">
        <v>253</v>
      </c>
      <c r="L63" s="205"/>
      <c r="M63" s="193"/>
      <c r="N63" s="193"/>
      <c r="O63" s="193"/>
      <c r="P63" s="193"/>
      <c r="Q63" s="193"/>
      <c r="R63" s="193"/>
      <c r="S63" s="193"/>
      <c r="T63" s="193"/>
      <c r="U63" s="193"/>
      <c r="V63" s="193"/>
      <c r="W63" s="193"/>
      <c r="X63" s="193"/>
      <c r="Y63" s="193"/>
    </row>
    <row r="64" spans="2:25" ht="68.25" hidden="1" customHeight="1" x14ac:dyDescent="0.25">
      <c r="B64" s="187" t="s">
        <v>219</v>
      </c>
      <c r="C64" s="213" t="s">
        <v>286</v>
      </c>
      <c r="D64" s="214"/>
      <c r="E64" s="214"/>
      <c r="F64" s="189" t="s">
        <v>291</v>
      </c>
      <c r="G64" s="209" t="s">
        <v>303</v>
      </c>
      <c r="H64" s="208" t="s">
        <v>67</v>
      </c>
      <c r="I64" s="208">
        <v>0</v>
      </c>
      <c r="J64" s="208">
        <v>300</v>
      </c>
      <c r="K64" s="210" t="s">
        <v>253</v>
      </c>
      <c r="L64" s="205"/>
      <c r="M64" s="193"/>
      <c r="N64" s="193"/>
      <c r="O64" s="193"/>
      <c r="P64" s="193"/>
      <c r="Q64" s="193"/>
      <c r="R64" s="193"/>
      <c r="S64" s="193"/>
      <c r="T64" s="193"/>
      <c r="U64" s="193"/>
      <c r="V64" s="193"/>
      <c r="W64" s="193"/>
      <c r="X64" s="193"/>
      <c r="Y64" s="193"/>
    </row>
    <row r="65" spans="2:25" ht="90" hidden="1" customHeight="1" x14ac:dyDescent="0.25">
      <c r="B65" s="187" t="s">
        <v>219</v>
      </c>
      <c r="C65" s="213" t="s">
        <v>286</v>
      </c>
      <c r="D65" s="214"/>
      <c r="E65" s="214"/>
      <c r="F65" s="189" t="s">
        <v>291</v>
      </c>
      <c r="G65" s="209" t="s">
        <v>304</v>
      </c>
      <c r="H65" s="208" t="s">
        <v>67</v>
      </c>
      <c r="I65" s="208">
        <v>200</v>
      </c>
      <c r="J65" s="208">
        <v>300</v>
      </c>
      <c r="K65" s="210" t="s">
        <v>253</v>
      </c>
      <c r="L65" s="205"/>
      <c r="M65" s="193"/>
      <c r="N65" s="193"/>
      <c r="O65" s="193"/>
      <c r="P65" s="193"/>
      <c r="Q65" s="193"/>
      <c r="R65" s="193"/>
      <c r="S65" s="193"/>
      <c r="T65" s="193"/>
      <c r="U65" s="193"/>
      <c r="V65" s="193"/>
      <c r="W65" s="193"/>
      <c r="X65" s="193"/>
      <c r="Y65" s="193"/>
    </row>
    <row r="66" spans="2:25" ht="79.5" hidden="1" customHeight="1" x14ac:dyDescent="0.25">
      <c r="B66" s="187" t="s">
        <v>219</v>
      </c>
      <c r="C66" s="213" t="s">
        <v>286</v>
      </c>
      <c r="D66" s="214"/>
      <c r="E66" s="214"/>
      <c r="F66" s="189" t="s">
        <v>291</v>
      </c>
      <c r="G66" s="209" t="s">
        <v>305</v>
      </c>
      <c r="H66" s="208" t="s">
        <v>67</v>
      </c>
      <c r="I66" s="208">
        <v>0</v>
      </c>
      <c r="J66" s="208">
        <v>1</v>
      </c>
      <c r="K66" s="210" t="s">
        <v>253</v>
      </c>
      <c r="L66" s="205"/>
      <c r="M66" s="193"/>
      <c r="N66" s="193"/>
      <c r="O66" s="193"/>
      <c r="P66" s="193"/>
      <c r="Q66" s="193"/>
      <c r="R66" s="193"/>
      <c r="S66" s="193"/>
      <c r="T66" s="193"/>
      <c r="U66" s="193"/>
      <c r="V66" s="193"/>
      <c r="W66" s="193"/>
      <c r="X66" s="193"/>
      <c r="Y66" s="193"/>
    </row>
    <row r="67" spans="2:25" ht="92.25" hidden="1" customHeight="1" x14ac:dyDescent="0.25">
      <c r="B67" s="187" t="s">
        <v>219</v>
      </c>
      <c r="C67" s="213" t="s">
        <v>286</v>
      </c>
      <c r="D67" s="214"/>
      <c r="E67" s="214"/>
      <c r="F67" s="189" t="s">
        <v>291</v>
      </c>
      <c r="G67" s="209" t="s">
        <v>306</v>
      </c>
      <c r="H67" s="208" t="s">
        <v>67</v>
      </c>
      <c r="I67" s="208">
        <v>160</v>
      </c>
      <c r="J67" s="208">
        <v>160</v>
      </c>
      <c r="K67" s="210" t="s">
        <v>253</v>
      </c>
      <c r="L67" s="205"/>
      <c r="M67" s="193"/>
      <c r="N67" s="193"/>
      <c r="O67" s="193"/>
      <c r="P67" s="193"/>
      <c r="Q67" s="193"/>
      <c r="R67" s="193"/>
      <c r="S67" s="193"/>
      <c r="T67" s="193"/>
      <c r="U67" s="193"/>
      <c r="V67" s="193"/>
      <c r="W67" s="193"/>
      <c r="X67" s="193"/>
      <c r="Y67" s="193"/>
    </row>
    <row r="68" spans="2:25" ht="78" hidden="1" customHeight="1" x14ac:dyDescent="0.25">
      <c r="B68" s="187" t="s">
        <v>219</v>
      </c>
      <c r="C68" s="213" t="s">
        <v>286</v>
      </c>
      <c r="D68" s="214"/>
      <c r="E68" s="214"/>
      <c r="F68" s="189" t="s">
        <v>291</v>
      </c>
      <c r="G68" s="209" t="s">
        <v>307</v>
      </c>
      <c r="H68" s="208" t="s">
        <v>67</v>
      </c>
      <c r="I68" s="208">
        <v>42</v>
      </c>
      <c r="J68" s="208">
        <v>42</v>
      </c>
      <c r="K68" s="210" t="s">
        <v>253</v>
      </c>
      <c r="L68" s="205"/>
      <c r="M68" s="193"/>
      <c r="N68" s="193"/>
      <c r="O68" s="193"/>
      <c r="P68" s="193"/>
      <c r="Q68" s="193"/>
      <c r="R68" s="193"/>
      <c r="S68" s="193"/>
      <c r="T68" s="193"/>
      <c r="U68" s="193"/>
      <c r="V68" s="193"/>
      <c r="W68" s="193"/>
      <c r="X68" s="193"/>
      <c r="Y68" s="193"/>
    </row>
    <row r="69" spans="2:25" ht="76.5" hidden="1" customHeight="1" x14ac:dyDescent="0.25">
      <c r="B69" s="187" t="s">
        <v>219</v>
      </c>
      <c r="C69" s="213" t="s">
        <v>286</v>
      </c>
      <c r="D69" s="214"/>
      <c r="E69" s="214"/>
      <c r="F69" s="189" t="s">
        <v>291</v>
      </c>
      <c r="G69" s="209" t="s">
        <v>308</v>
      </c>
      <c r="H69" s="208" t="s">
        <v>67</v>
      </c>
      <c r="I69" s="208">
        <v>16</v>
      </c>
      <c r="J69" s="208">
        <v>12</v>
      </c>
      <c r="K69" s="210" t="s">
        <v>253</v>
      </c>
      <c r="L69" s="205"/>
      <c r="M69" s="193"/>
      <c r="N69" s="193"/>
      <c r="O69" s="193"/>
      <c r="P69" s="193"/>
      <c r="Q69" s="193"/>
      <c r="R69" s="193"/>
      <c r="S69" s="193"/>
      <c r="T69" s="193"/>
      <c r="U69" s="193"/>
      <c r="V69" s="193"/>
      <c r="W69" s="193"/>
      <c r="X69" s="193"/>
      <c r="Y69" s="193"/>
    </row>
    <row r="70" spans="2:25" ht="90" hidden="1" customHeight="1" x14ac:dyDescent="0.25">
      <c r="B70" s="187" t="s">
        <v>219</v>
      </c>
      <c r="C70" s="213" t="s">
        <v>286</v>
      </c>
      <c r="D70" s="214"/>
      <c r="E70" s="214"/>
      <c r="F70" s="189" t="s">
        <v>291</v>
      </c>
      <c r="G70" s="209" t="s">
        <v>309</v>
      </c>
      <c r="H70" s="208" t="s">
        <v>67</v>
      </c>
      <c r="I70" s="208">
        <v>0</v>
      </c>
      <c r="J70" s="208">
        <v>6</v>
      </c>
      <c r="K70" s="202" t="s">
        <v>228</v>
      </c>
      <c r="L70" s="205"/>
      <c r="M70" s="193"/>
      <c r="N70" s="193"/>
      <c r="O70" s="193"/>
      <c r="P70" s="193"/>
      <c r="Q70" s="193"/>
      <c r="R70" s="193"/>
      <c r="S70" s="193"/>
      <c r="T70" s="193"/>
      <c r="U70" s="193"/>
      <c r="V70" s="193"/>
      <c r="W70" s="193"/>
      <c r="X70" s="193"/>
      <c r="Y70" s="193"/>
    </row>
    <row r="71" spans="2:25" ht="62.25" hidden="1" customHeight="1" x14ac:dyDescent="0.25">
      <c r="B71" s="187" t="s">
        <v>219</v>
      </c>
      <c r="C71" s="213" t="s">
        <v>286</v>
      </c>
      <c r="D71" s="214"/>
      <c r="E71" s="214"/>
      <c r="F71" s="189" t="s">
        <v>291</v>
      </c>
      <c r="G71" s="209" t="s">
        <v>310</v>
      </c>
      <c r="H71" s="208" t="s">
        <v>67</v>
      </c>
      <c r="I71" s="208">
        <v>0</v>
      </c>
      <c r="J71" s="208">
        <v>6</v>
      </c>
      <c r="K71" s="202" t="s">
        <v>228</v>
      </c>
      <c r="L71" s="205"/>
      <c r="M71" s="193"/>
      <c r="N71" s="193"/>
      <c r="O71" s="193"/>
      <c r="P71" s="193"/>
      <c r="Q71" s="193"/>
      <c r="R71" s="193"/>
      <c r="S71" s="193"/>
      <c r="T71" s="193"/>
      <c r="U71" s="193"/>
      <c r="V71" s="193"/>
      <c r="W71" s="193"/>
      <c r="X71" s="193"/>
      <c r="Y71" s="193"/>
    </row>
    <row r="72" spans="2:25" ht="64.5" hidden="1" customHeight="1" x14ac:dyDescent="0.25">
      <c r="B72" s="187" t="s">
        <v>219</v>
      </c>
      <c r="C72" s="213" t="s">
        <v>286</v>
      </c>
      <c r="D72" s="214"/>
      <c r="E72" s="214"/>
      <c r="F72" s="189" t="s">
        <v>291</v>
      </c>
      <c r="G72" s="209" t="s">
        <v>311</v>
      </c>
      <c r="H72" s="210" t="s">
        <v>67</v>
      </c>
      <c r="I72" s="210">
        <v>1</v>
      </c>
      <c r="J72" s="210">
        <v>1</v>
      </c>
      <c r="K72" s="210" t="s">
        <v>253</v>
      </c>
      <c r="L72" s="205"/>
      <c r="M72" s="193"/>
      <c r="N72" s="193"/>
      <c r="O72" s="193"/>
      <c r="P72" s="193"/>
      <c r="Q72" s="193"/>
      <c r="R72" s="193"/>
      <c r="S72" s="193"/>
      <c r="T72" s="193"/>
      <c r="U72" s="193"/>
      <c r="V72" s="193"/>
      <c r="W72" s="193"/>
      <c r="X72" s="193"/>
      <c r="Y72" s="193"/>
    </row>
    <row r="73" spans="2:25" ht="61.5" hidden="1" customHeight="1" x14ac:dyDescent="0.25">
      <c r="B73" s="187" t="s">
        <v>219</v>
      </c>
      <c r="C73" s="213" t="s">
        <v>286</v>
      </c>
      <c r="D73" s="214"/>
      <c r="E73" s="214"/>
      <c r="F73" s="207" t="s">
        <v>312</v>
      </c>
      <c r="G73" s="203" t="s">
        <v>313</v>
      </c>
      <c r="H73" s="202" t="s">
        <v>67</v>
      </c>
      <c r="I73" s="204">
        <v>4337</v>
      </c>
      <c r="J73" s="204">
        <v>36000</v>
      </c>
      <c r="K73" s="202" t="s">
        <v>228</v>
      </c>
      <c r="L73" s="205"/>
      <c r="M73" s="193"/>
      <c r="N73" s="193"/>
      <c r="O73" s="193"/>
      <c r="P73" s="193"/>
      <c r="Q73" s="193"/>
      <c r="R73" s="193"/>
      <c r="S73" s="193"/>
      <c r="T73" s="193"/>
      <c r="U73" s="193"/>
      <c r="V73" s="193"/>
      <c r="W73" s="193"/>
      <c r="X73" s="193"/>
      <c r="Y73" s="193"/>
    </row>
    <row r="74" spans="2:25" ht="45" hidden="1" customHeight="1" x14ac:dyDescent="0.25">
      <c r="B74" s="187" t="s">
        <v>219</v>
      </c>
      <c r="C74" s="213" t="s">
        <v>314</v>
      </c>
      <c r="D74" s="214"/>
      <c r="E74" s="214"/>
      <c r="F74" s="207" t="s">
        <v>315</v>
      </c>
      <c r="G74" s="209" t="s">
        <v>316</v>
      </c>
      <c r="H74" s="208" t="s">
        <v>67</v>
      </c>
      <c r="I74" s="208">
        <v>2058</v>
      </c>
      <c r="J74" s="208">
        <v>2058</v>
      </c>
      <c r="K74" s="208" t="s">
        <v>283</v>
      </c>
      <c r="L74" s="205"/>
      <c r="M74" s="193"/>
      <c r="N74" s="193"/>
      <c r="O74" s="193"/>
      <c r="P74" s="193"/>
      <c r="Q74" s="193"/>
      <c r="R74" s="193"/>
      <c r="S74" s="193"/>
      <c r="T74" s="193"/>
      <c r="U74" s="193"/>
      <c r="V74" s="193"/>
      <c r="W74" s="193"/>
      <c r="X74" s="193"/>
      <c r="Y74" s="193"/>
    </row>
    <row r="75" spans="2:25" ht="75" hidden="1" customHeight="1" x14ac:dyDescent="0.25">
      <c r="B75" s="187" t="s">
        <v>219</v>
      </c>
      <c r="C75" s="213" t="s">
        <v>314</v>
      </c>
      <c r="D75" s="214"/>
      <c r="E75" s="214"/>
      <c r="F75" s="207" t="s">
        <v>315</v>
      </c>
      <c r="G75" s="209" t="s">
        <v>317</v>
      </c>
      <c r="H75" s="208" t="s">
        <v>67</v>
      </c>
      <c r="I75" s="208">
        <v>38</v>
      </c>
      <c r="J75" s="208">
        <v>40</v>
      </c>
      <c r="K75" s="208" t="s">
        <v>283</v>
      </c>
      <c r="L75" s="205"/>
      <c r="M75" s="193"/>
      <c r="N75" s="193"/>
      <c r="O75" s="193"/>
      <c r="P75" s="193"/>
      <c r="Q75" s="193"/>
      <c r="R75" s="193"/>
      <c r="S75" s="193"/>
      <c r="T75" s="193"/>
      <c r="U75" s="193"/>
      <c r="V75" s="193"/>
      <c r="W75" s="193"/>
      <c r="X75" s="193"/>
      <c r="Y75" s="193"/>
    </row>
    <row r="76" spans="2:25" ht="45" hidden="1" customHeight="1" x14ac:dyDescent="0.25">
      <c r="B76" s="187" t="s">
        <v>219</v>
      </c>
      <c r="C76" s="213" t="s">
        <v>314</v>
      </c>
      <c r="D76" s="214"/>
      <c r="E76" s="214"/>
      <c r="F76" s="207" t="s">
        <v>315</v>
      </c>
      <c r="G76" s="209" t="s">
        <v>318</v>
      </c>
      <c r="H76" s="208" t="s">
        <v>67</v>
      </c>
      <c r="I76" s="208">
        <v>7</v>
      </c>
      <c r="J76" s="208">
        <v>10</v>
      </c>
      <c r="K76" s="208" t="s">
        <v>283</v>
      </c>
      <c r="L76" s="205"/>
      <c r="M76" s="193"/>
      <c r="N76" s="193"/>
      <c r="O76" s="193"/>
      <c r="P76" s="193"/>
      <c r="Q76" s="193"/>
      <c r="R76" s="193"/>
      <c r="S76" s="193"/>
      <c r="T76" s="193"/>
      <c r="U76" s="193"/>
      <c r="V76" s="193"/>
      <c r="W76" s="193"/>
      <c r="X76" s="193"/>
      <c r="Y76" s="193"/>
    </row>
    <row r="77" spans="2:25" ht="35.25" hidden="1" customHeight="1" x14ac:dyDescent="0.25">
      <c r="B77" s="187" t="s">
        <v>219</v>
      </c>
      <c r="C77" s="213" t="s">
        <v>314</v>
      </c>
      <c r="D77" s="214"/>
      <c r="E77" s="214"/>
      <c r="F77" s="216" t="s">
        <v>319</v>
      </c>
      <c r="G77" s="203" t="s">
        <v>320</v>
      </c>
      <c r="H77" s="202" t="s">
        <v>67</v>
      </c>
      <c r="I77" s="217">
        <v>2058</v>
      </c>
      <c r="J77" s="217">
        <v>2264</v>
      </c>
      <c r="K77" s="217" t="s">
        <v>283</v>
      </c>
      <c r="L77" s="205"/>
      <c r="M77" s="193"/>
      <c r="N77" s="193"/>
      <c r="O77" s="193"/>
      <c r="P77" s="193"/>
      <c r="Q77" s="193"/>
      <c r="R77" s="193"/>
      <c r="S77" s="193"/>
      <c r="T77" s="193"/>
      <c r="U77" s="193"/>
      <c r="V77" s="193"/>
      <c r="W77" s="193"/>
      <c r="X77" s="193"/>
      <c r="Y77" s="193"/>
    </row>
    <row r="78" spans="2:25" ht="37.5" hidden="1" customHeight="1" x14ac:dyDescent="0.25">
      <c r="B78" s="187" t="s">
        <v>219</v>
      </c>
      <c r="C78" s="213" t="s">
        <v>314</v>
      </c>
      <c r="D78" s="214"/>
      <c r="E78" s="214"/>
      <c r="F78" s="216" t="s">
        <v>319</v>
      </c>
      <c r="G78" s="203" t="s">
        <v>321</v>
      </c>
      <c r="H78" s="202" t="s">
        <v>67</v>
      </c>
      <c r="I78" s="217">
        <v>38</v>
      </c>
      <c r="J78" s="217">
        <v>40</v>
      </c>
      <c r="K78" s="217" t="s">
        <v>283</v>
      </c>
      <c r="L78" s="205"/>
      <c r="M78" s="193"/>
      <c r="N78" s="193"/>
      <c r="O78" s="193"/>
      <c r="P78" s="193"/>
      <c r="Q78" s="193"/>
      <c r="R78" s="193"/>
      <c r="S78" s="193"/>
      <c r="T78" s="193"/>
      <c r="U78" s="193"/>
      <c r="V78" s="193"/>
      <c r="W78" s="193"/>
      <c r="X78" s="193"/>
      <c r="Y78" s="193"/>
    </row>
    <row r="79" spans="2:25" ht="75" hidden="1" customHeight="1" x14ac:dyDescent="0.2">
      <c r="B79" s="187" t="s">
        <v>219</v>
      </c>
      <c r="C79" s="187" t="s">
        <v>322</v>
      </c>
      <c r="D79" s="188"/>
      <c r="E79" s="188"/>
      <c r="F79" s="216" t="s">
        <v>323</v>
      </c>
      <c r="G79" s="209" t="s">
        <v>324</v>
      </c>
      <c r="H79" s="208" t="s">
        <v>67</v>
      </c>
      <c r="I79" s="208">
        <v>4516</v>
      </c>
      <c r="J79" s="208">
        <v>5000</v>
      </c>
      <c r="K79" s="208" t="s">
        <v>283</v>
      </c>
      <c r="L79" s="205"/>
      <c r="M79" s="193"/>
      <c r="N79" s="218"/>
      <c r="O79" s="193"/>
      <c r="P79" s="193"/>
      <c r="Q79" s="193"/>
      <c r="R79" s="193"/>
      <c r="S79" s="193"/>
      <c r="T79" s="193"/>
      <c r="U79" s="193"/>
      <c r="V79" s="193"/>
      <c r="W79" s="193"/>
      <c r="X79" s="193"/>
      <c r="Y79" s="193"/>
    </row>
    <row r="80" spans="2:25" ht="45" hidden="1" customHeight="1" x14ac:dyDescent="0.2">
      <c r="B80" s="187" t="s">
        <v>219</v>
      </c>
      <c r="C80" s="187" t="s">
        <v>322</v>
      </c>
      <c r="D80" s="188"/>
      <c r="E80" s="188"/>
      <c r="F80" s="216" t="s">
        <v>323</v>
      </c>
      <c r="G80" s="209" t="s">
        <v>325</v>
      </c>
      <c r="H80" s="208" t="s">
        <v>67</v>
      </c>
      <c r="I80" s="208">
        <v>628</v>
      </c>
      <c r="J80" s="208">
        <v>690</v>
      </c>
      <c r="K80" s="208" t="s">
        <v>283</v>
      </c>
      <c r="L80" s="205"/>
      <c r="M80" s="193"/>
      <c r="N80" s="219"/>
      <c r="O80" s="193"/>
      <c r="P80" s="193"/>
      <c r="Q80" s="193"/>
      <c r="R80" s="193"/>
      <c r="S80" s="193"/>
      <c r="T80" s="193"/>
      <c r="U80" s="193"/>
      <c r="V80" s="193"/>
      <c r="W80" s="193"/>
      <c r="X80" s="193"/>
      <c r="Y80" s="193"/>
    </row>
    <row r="81" spans="2:25" ht="42" hidden="1" customHeight="1" x14ac:dyDescent="0.2">
      <c r="B81" s="187" t="s">
        <v>219</v>
      </c>
      <c r="C81" s="187" t="s">
        <v>322</v>
      </c>
      <c r="D81" s="188"/>
      <c r="E81" s="188"/>
      <c r="F81" s="216" t="s">
        <v>323</v>
      </c>
      <c r="G81" s="209" t="s">
        <v>326</v>
      </c>
      <c r="H81" s="208" t="s">
        <v>67</v>
      </c>
      <c r="I81" s="208">
        <v>2033</v>
      </c>
      <c r="J81" s="208">
        <v>2036</v>
      </c>
      <c r="K81" s="208" t="s">
        <v>283</v>
      </c>
      <c r="L81" s="205"/>
      <c r="M81" s="193"/>
      <c r="N81" s="193"/>
      <c r="O81" s="193"/>
      <c r="P81" s="193"/>
      <c r="Q81" s="193"/>
      <c r="R81" s="193"/>
      <c r="S81" s="193"/>
      <c r="T81" s="193"/>
      <c r="U81" s="193"/>
      <c r="V81" s="193"/>
      <c r="W81" s="193"/>
      <c r="X81" s="193"/>
      <c r="Y81" s="193"/>
    </row>
    <row r="82" spans="2:25" ht="60" hidden="1" customHeight="1" x14ac:dyDescent="0.25">
      <c r="B82" s="187" t="s">
        <v>219</v>
      </c>
      <c r="C82" s="213" t="s">
        <v>327</v>
      </c>
      <c r="D82" s="214"/>
      <c r="E82" s="214"/>
      <c r="F82" s="216" t="s">
        <v>328</v>
      </c>
      <c r="G82" s="209" t="s">
        <v>329</v>
      </c>
      <c r="H82" s="208" t="s">
        <v>67</v>
      </c>
      <c r="I82" s="208">
        <v>1</v>
      </c>
      <c r="J82" s="208">
        <v>1</v>
      </c>
      <c r="K82" s="202" t="s">
        <v>228</v>
      </c>
      <c r="L82" s="205"/>
      <c r="M82" s="193"/>
      <c r="N82" s="193"/>
      <c r="O82" s="193"/>
      <c r="P82" s="193"/>
      <c r="Q82" s="193"/>
      <c r="R82" s="193"/>
      <c r="S82" s="193"/>
      <c r="T82" s="193"/>
      <c r="U82" s="193"/>
      <c r="V82" s="193"/>
      <c r="W82" s="193"/>
      <c r="X82" s="193"/>
      <c r="Y82" s="193"/>
    </row>
    <row r="83" spans="2:25" ht="39" hidden="1" customHeight="1" x14ac:dyDescent="0.25">
      <c r="B83" s="187" t="s">
        <v>219</v>
      </c>
      <c r="C83" s="213" t="s">
        <v>327</v>
      </c>
      <c r="D83" s="214"/>
      <c r="E83" s="214"/>
      <c r="F83" s="216" t="s">
        <v>328</v>
      </c>
      <c r="G83" s="209" t="s">
        <v>330</v>
      </c>
      <c r="H83" s="208" t="s">
        <v>67</v>
      </c>
      <c r="I83" s="208">
        <v>0</v>
      </c>
      <c r="J83" s="208">
        <v>1</v>
      </c>
      <c r="K83" s="202" t="s">
        <v>228</v>
      </c>
      <c r="L83" s="205"/>
      <c r="M83" s="193"/>
      <c r="N83" s="193"/>
      <c r="O83" s="193"/>
      <c r="P83" s="193"/>
      <c r="Q83" s="193"/>
      <c r="R83" s="193"/>
      <c r="S83" s="193"/>
      <c r="T83" s="193"/>
      <c r="U83" s="193"/>
      <c r="V83" s="193"/>
      <c r="W83" s="193"/>
      <c r="X83" s="193"/>
      <c r="Y83" s="193"/>
    </row>
    <row r="84" spans="2:25" ht="75" hidden="1" customHeight="1" x14ac:dyDescent="0.25">
      <c r="B84" s="187" t="s">
        <v>219</v>
      </c>
      <c r="C84" s="213" t="s">
        <v>327</v>
      </c>
      <c r="D84" s="214"/>
      <c r="E84" s="214"/>
      <c r="F84" s="216" t="s">
        <v>328</v>
      </c>
      <c r="G84" s="209" t="s">
        <v>331</v>
      </c>
      <c r="H84" s="208" t="s">
        <v>67</v>
      </c>
      <c r="I84" s="208">
        <v>0</v>
      </c>
      <c r="J84" s="208">
        <v>6</v>
      </c>
      <c r="K84" s="202" t="s">
        <v>228</v>
      </c>
      <c r="L84" s="205"/>
      <c r="M84" s="193"/>
      <c r="N84" s="193"/>
      <c r="O84" s="193"/>
      <c r="P84" s="193"/>
      <c r="Q84" s="193"/>
      <c r="R84" s="193"/>
      <c r="S84" s="193"/>
      <c r="T84" s="193"/>
      <c r="U84" s="193"/>
      <c r="V84" s="193"/>
      <c r="W84" s="193"/>
      <c r="X84" s="193"/>
      <c r="Y84" s="193"/>
    </row>
    <row r="85" spans="2:25" ht="60" hidden="1" customHeight="1" x14ac:dyDescent="0.25">
      <c r="B85" s="187" t="s">
        <v>219</v>
      </c>
      <c r="C85" s="213" t="s">
        <v>327</v>
      </c>
      <c r="D85" s="214"/>
      <c r="E85" s="214"/>
      <c r="F85" s="216" t="s">
        <v>328</v>
      </c>
      <c r="G85" s="209" t="s">
        <v>332</v>
      </c>
      <c r="H85" s="208" t="s">
        <v>67</v>
      </c>
      <c r="I85" s="220">
        <v>30887</v>
      </c>
      <c r="J85" s="221">
        <v>31456</v>
      </c>
      <c r="K85" s="202" t="s">
        <v>228</v>
      </c>
      <c r="L85" s="205"/>
      <c r="M85" s="193"/>
      <c r="N85" s="193"/>
      <c r="O85" s="193"/>
      <c r="P85" s="193"/>
      <c r="Q85" s="193"/>
      <c r="R85" s="193"/>
      <c r="S85" s="193"/>
      <c r="T85" s="193"/>
      <c r="U85" s="193"/>
      <c r="V85" s="193"/>
      <c r="W85" s="193"/>
      <c r="X85" s="193"/>
      <c r="Y85" s="193"/>
    </row>
    <row r="86" spans="2:25" ht="120" hidden="1" customHeight="1" x14ac:dyDescent="0.25">
      <c r="B86" s="187" t="s">
        <v>219</v>
      </c>
      <c r="C86" s="213" t="s">
        <v>327</v>
      </c>
      <c r="D86" s="214"/>
      <c r="E86" s="214"/>
      <c r="F86" s="205" t="s">
        <v>333</v>
      </c>
      <c r="G86" s="209" t="s">
        <v>334</v>
      </c>
      <c r="H86" s="209" t="s">
        <v>67</v>
      </c>
      <c r="I86" s="220">
        <v>1419</v>
      </c>
      <c r="J86" s="220">
        <v>2300</v>
      </c>
      <c r="K86" s="202" t="s">
        <v>228</v>
      </c>
      <c r="L86" s="205"/>
      <c r="M86" s="193"/>
      <c r="N86" s="193"/>
      <c r="O86" s="193"/>
      <c r="P86" s="193"/>
      <c r="Q86" s="193"/>
      <c r="R86" s="193"/>
      <c r="S86" s="193"/>
      <c r="T86" s="193"/>
      <c r="U86" s="193"/>
      <c r="V86" s="193"/>
      <c r="W86" s="193"/>
      <c r="X86" s="193"/>
      <c r="Y86" s="193"/>
    </row>
    <row r="87" spans="2:25" ht="105" hidden="1" customHeight="1" x14ac:dyDescent="0.25">
      <c r="B87" s="187" t="s">
        <v>219</v>
      </c>
      <c r="C87" s="213" t="s">
        <v>327</v>
      </c>
      <c r="D87" s="214"/>
      <c r="E87" s="214"/>
      <c r="F87" s="205" t="s">
        <v>333</v>
      </c>
      <c r="G87" s="209" t="s">
        <v>335</v>
      </c>
      <c r="H87" s="209" t="s">
        <v>67</v>
      </c>
      <c r="I87" s="209">
        <v>3</v>
      </c>
      <c r="J87" s="209">
        <v>12</v>
      </c>
      <c r="K87" s="202" t="s">
        <v>228</v>
      </c>
      <c r="L87" s="205"/>
      <c r="M87" s="193"/>
      <c r="N87" s="193"/>
      <c r="O87" s="193"/>
      <c r="P87" s="193"/>
      <c r="Q87" s="193"/>
      <c r="R87" s="193"/>
      <c r="S87" s="193"/>
      <c r="T87" s="193"/>
      <c r="U87" s="193"/>
      <c r="V87" s="193"/>
      <c r="W87" s="193"/>
      <c r="X87" s="193"/>
      <c r="Y87" s="193"/>
    </row>
    <row r="88" spans="2:25" ht="72.75" hidden="1" customHeight="1" x14ac:dyDescent="0.25">
      <c r="B88" s="187" t="s">
        <v>219</v>
      </c>
      <c r="C88" s="213" t="s">
        <v>327</v>
      </c>
      <c r="D88" s="214"/>
      <c r="E88" s="214"/>
      <c r="F88" s="205" t="s">
        <v>333</v>
      </c>
      <c r="G88" s="209" t="s">
        <v>336</v>
      </c>
      <c r="H88" s="209" t="s">
        <v>67</v>
      </c>
      <c r="I88" s="209">
        <v>8095</v>
      </c>
      <c r="J88" s="220">
        <v>12000</v>
      </c>
      <c r="K88" s="202" t="s">
        <v>228</v>
      </c>
      <c r="L88" s="205"/>
      <c r="M88" s="193"/>
      <c r="N88" s="193"/>
      <c r="O88" s="193"/>
      <c r="P88" s="193"/>
      <c r="Q88" s="193"/>
      <c r="R88" s="193"/>
      <c r="S88" s="193"/>
      <c r="T88" s="193"/>
      <c r="U88" s="193"/>
      <c r="V88" s="193"/>
      <c r="W88" s="193"/>
      <c r="X88" s="193"/>
      <c r="Y88" s="193"/>
    </row>
    <row r="89" spans="2:25" ht="69" hidden="1" customHeight="1" x14ac:dyDescent="0.25">
      <c r="B89" s="187" t="s">
        <v>219</v>
      </c>
      <c r="C89" s="213" t="s">
        <v>327</v>
      </c>
      <c r="D89" s="214"/>
      <c r="E89" s="214"/>
      <c r="F89" s="205" t="s">
        <v>333</v>
      </c>
      <c r="G89" s="209" t="s">
        <v>337</v>
      </c>
      <c r="H89" s="209" t="s">
        <v>67</v>
      </c>
      <c r="I89" s="209">
        <v>652</v>
      </c>
      <c r="J89" s="209">
        <v>800</v>
      </c>
      <c r="K89" s="202" t="s">
        <v>228</v>
      </c>
      <c r="L89" s="205"/>
      <c r="M89" s="193"/>
      <c r="N89" s="193"/>
      <c r="O89" s="193"/>
      <c r="P89" s="193"/>
      <c r="Q89" s="193"/>
      <c r="R89" s="193"/>
      <c r="S89" s="193"/>
      <c r="T89" s="193"/>
      <c r="U89" s="193"/>
      <c r="V89" s="193"/>
      <c r="W89" s="193"/>
      <c r="X89" s="193"/>
      <c r="Y89" s="193"/>
    </row>
    <row r="90" spans="2:25" ht="61.5" hidden="1" customHeight="1" x14ac:dyDescent="0.25">
      <c r="B90" s="187" t="s">
        <v>219</v>
      </c>
      <c r="C90" s="213" t="s">
        <v>327</v>
      </c>
      <c r="D90" s="214"/>
      <c r="E90" s="214"/>
      <c r="F90" s="205" t="s">
        <v>333</v>
      </c>
      <c r="G90" s="209" t="s">
        <v>338</v>
      </c>
      <c r="H90" s="209" t="s">
        <v>67</v>
      </c>
      <c r="I90" s="209">
        <v>0</v>
      </c>
      <c r="J90" s="209">
        <v>1</v>
      </c>
      <c r="K90" s="202" t="s">
        <v>228</v>
      </c>
      <c r="L90" s="205"/>
      <c r="M90" s="193"/>
      <c r="N90" s="193"/>
      <c r="O90" s="193"/>
      <c r="P90" s="193"/>
      <c r="Q90" s="193"/>
      <c r="R90" s="193"/>
      <c r="S90" s="193"/>
      <c r="T90" s="193"/>
      <c r="U90" s="193"/>
      <c r="V90" s="193"/>
      <c r="W90" s="193"/>
      <c r="X90" s="193"/>
      <c r="Y90" s="193"/>
    </row>
    <row r="91" spans="2:25" ht="72" hidden="1" customHeight="1" x14ac:dyDescent="0.25">
      <c r="B91" s="187" t="s">
        <v>219</v>
      </c>
      <c r="C91" s="213" t="s">
        <v>327</v>
      </c>
      <c r="D91" s="214"/>
      <c r="E91" s="214"/>
      <c r="F91" s="205" t="s">
        <v>333</v>
      </c>
      <c r="G91" s="209" t="s">
        <v>339</v>
      </c>
      <c r="H91" s="209" t="s">
        <v>67</v>
      </c>
      <c r="I91" s="209">
        <v>2</v>
      </c>
      <c r="J91" s="209">
        <v>3</v>
      </c>
      <c r="K91" s="202" t="s">
        <v>228</v>
      </c>
      <c r="L91" s="205"/>
      <c r="M91" s="193"/>
      <c r="N91" s="193"/>
      <c r="O91" s="193"/>
      <c r="P91" s="193"/>
      <c r="Q91" s="193"/>
      <c r="R91" s="193"/>
      <c r="S91" s="193"/>
      <c r="T91" s="193"/>
      <c r="U91" s="193"/>
      <c r="V91" s="193"/>
      <c r="W91" s="193"/>
      <c r="X91" s="193"/>
      <c r="Y91" s="193"/>
    </row>
    <row r="92" spans="2:25" ht="60" hidden="1" customHeight="1" x14ac:dyDescent="0.25">
      <c r="B92" s="187" t="s">
        <v>219</v>
      </c>
      <c r="C92" s="213" t="s">
        <v>327</v>
      </c>
      <c r="D92" s="214"/>
      <c r="E92" s="214"/>
      <c r="F92" s="205" t="s">
        <v>333</v>
      </c>
      <c r="G92" s="209" t="s">
        <v>340</v>
      </c>
      <c r="H92" s="209" t="s">
        <v>67</v>
      </c>
      <c r="I92" s="209">
        <v>1832</v>
      </c>
      <c r="J92" s="209">
        <v>5496</v>
      </c>
      <c r="K92" s="202" t="s">
        <v>228</v>
      </c>
      <c r="L92" s="205"/>
      <c r="M92" s="193"/>
      <c r="N92" s="193"/>
      <c r="O92" s="193"/>
      <c r="P92" s="193"/>
      <c r="Q92" s="193"/>
      <c r="R92" s="193"/>
      <c r="S92" s="193"/>
      <c r="T92" s="193"/>
      <c r="U92" s="193"/>
      <c r="V92" s="193"/>
      <c r="W92" s="193"/>
      <c r="X92" s="193"/>
      <c r="Y92" s="193"/>
    </row>
    <row r="93" spans="2:25" ht="52.5" hidden="1" customHeight="1" x14ac:dyDescent="0.25">
      <c r="B93" s="187" t="s">
        <v>219</v>
      </c>
      <c r="C93" s="213" t="s">
        <v>327</v>
      </c>
      <c r="D93" s="214"/>
      <c r="E93" s="214"/>
      <c r="F93" s="207" t="s">
        <v>341</v>
      </c>
      <c r="G93" s="212" t="s">
        <v>342</v>
      </c>
      <c r="H93" s="191" t="s">
        <v>67</v>
      </c>
      <c r="I93" s="191">
        <v>0</v>
      </c>
      <c r="J93" s="191">
        <v>1</v>
      </c>
      <c r="K93" s="212" t="s">
        <v>343</v>
      </c>
      <c r="L93" s="205"/>
      <c r="M93" s="193"/>
      <c r="N93" s="193"/>
      <c r="O93" s="193"/>
      <c r="P93" s="193"/>
      <c r="Q93" s="193"/>
      <c r="R93" s="193"/>
      <c r="S93" s="193"/>
      <c r="T93" s="193"/>
      <c r="U93" s="193"/>
      <c r="V93" s="193"/>
      <c r="W93" s="193"/>
      <c r="X93" s="193"/>
      <c r="Y93" s="193"/>
    </row>
    <row r="94" spans="2:25" ht="54" hidden="1" customHeight="1" x14ac:dyDescent="0.25">
      <c r="B94" s="187" t="s">
        <v>219</v>
      </c>
      <c r="C94" s="213" t="s">
        <v>327</v>
      </c>
      <c r="D94" s="214"/>
      <c r="E94" s="214"/>
      <c r="F94" s="207" t="s">
        <v>341</v>
      </c>
      <c r="G94" s="212" t="s">
        <v>344</v>
      </c>
      <c r="H94" s="191" t="s">
        <v>250</v>
      </c>
      <c r="I94" s="191">
        <v>37968</v>
      </c>
      <c r="J94" s="191">
        <v>37968</v>
      </c>
      <c r="K94" s="202" t="s">
        <v>228</v>
      </c>
      <c r="L94" s="205"/>
      <c r="M94" s="193"/>
      <c r="N94" s="193"/>
      <c r="O94" s="193"/>
      <c r="P94" s="193"/>
      <c r="Q94" s="193"/>
      <c r="R94" s="193"/>
      <c r="S94" s="193"/>
      <c r="T94" s="193"/>
      <c r="U94" s="193"/>
      <c r="V94" s="193"/>
      <c r="W94" s="193"/>
      <c r="X94" s="193"/>
      <c r="Y94" s="193"/>
    </row>
    <row r="95" spans="2:25" ht="57.75" hidden="1" customHeight="1" x14ac:dyDescent="0.25">
      <c r="B95" s="187" t="s">
        <v>219</v>
      </c>
      <c r="C95" s="213" t="s">
        <v>327</v>
      </c>
      <c r="D95" s="214"/>
      <c r="E95" s="214"/>
      <c r="F95" s="207" t="s">
        <v>341</v>
      </c>
      <c r="G95" s="212" t="s">
        <v>345</v>
      </c>
      <c r="H95" s="191" t="s">
        <v>250</v>
      </c>
      <c r="I95" s="191">
        <v>4</v>
      </c>
      <c r="J95" s="191">
        <v>4</v>
      </c>
      <c r="K95" s="202" t="s">
        <v>228</v>
      </c>
      <c r="L95" s="205"/>
      <c r="M95" s="193"/>
      <c r="N95" s="193"/>
      <c r="O95" s="193"/>
      <c r="P95" s="193"/>
      <c r="Q95" s="193"/>
      <c r="R95" s="193"/>
      <c r="S95" s="193"/>
      <c r="T95" s="193"/>
      <c r="U95" s="193"/>
      <c r="V95" s="193"/>
      <c r="W95" s="193"/>
      <c r="X95" s="193"/>
      <c r="Y95" s="193"/>
    </row>
    <row r="96" spans="2:25" ht="52.5" hidden="1" customHeight="1" x14ac:dyDescent="0.25">
      <c r="B96" s="187" t="s">
        <v>219</v>
      </c>
      <c r="C96" s="213" t="s">
        <v>327</v>
      </c>
      <c r="D96" s="214"/>
      <c r="E96" s="214"/>
      <c r="F96" s="207" t="s">
        <v>341</v>
      </c>
      <c r="G96" s="212" t="s">
        <v>346</v>
      </c>
      <c r="H96" s="191" t="s">
        <v>67</v>
      </c>
      <c r="I96" s="191">
        <v>0</v>
      </c>
      <c r="J96" s="191">
        <v>1</v>
      </c>
      <c r="K96" s="202" t="s">
        <v>228</v>
      </c>
      <c r="L96" s="205"/>
      <c r="M96" s="193"/>
      <c r="N96" s="193"/>
      <c r="O96" s="193"/>
      <c r="P96" s="193"/>
      <c r="Q96" s="193"/>
      <c r="R96" s="193"/>
      <c r="S96" s="193"/>
      <c r="T96" s="193"/>
      <c r="U96" s="193"/>
      <c r="V96" s="193"/>
      <c r="W96" s="193"/>
      <c r="X96" s="193"/>
      <c r="Y96" s="193"/>
    </row>
    <row r="97" spans="2:25" ht="52.5" hidden="1" customHeight="1" x14ac:dyDescent="0.25">
      <c r="B97" s="187" t="s">
        <v>219</v>
      </c>
      <c r="C97" s="213" t="s">
        <v>327</v>
      </c>
      <c r="D97" s="214"/>
      <c r="E97" s="214"/>
      <c r="F97" s="207" t="s">
        <v>341</v>
      </c>
      <c r="G97" s="212" t="s">
        <v>347</v>
      </c>
      <c r="H97" s="191" t="s">
        <v>67</v>
      </c>
      <c r="I97" s="191">
        <v>0</v>
      </c>
      <c r="J97" s="191">
        <v>1</v>
      </c>
      <c r="K97" s="202" t="s">
        <v>228</v>
      </c>
      <c r="L97" s="205"/>
      <c r="M97" s="193"/>
      <c r="N97" s="193"/>
      <c r="O97" s="193"/>
      <c r="P97" s="193"/>
      <c r="Q97" s="193"/>
      <c r="R97" s="193"/>
      <c r="S97" s="193"/>
      <c r="T97" s="193"/>
      <c r="U97" s="193"/>
      <c r="V97" s="193"/>
      <c r="W97" s="193"/>
      <c r="X97" s="193"/>
      <c r="Y97" s="193"/>
    </row>
    <row r="98" spans="2:25" ht="60.75" hidden="1" customHeight="1" x14ac:dyDescent="0.25">
      <c r="B98" s="187" t="s">
        <v>219</v>
      </c>
      <c r="C98" s="213" t="s">
        <v>327</v>
      </c>
      <c r="D98" s="214"/>
      <c r="E98" s="214"/>
      <c r="F98" s="207" t="s">
        <v>341</v>
      </c>
      <c r="G98" s="212" t="s">
        <v>348</v>
      </c>
      <c r="H98" s="191" t="s">
        <v>67</v>
      </c>
      <c r="I98" s="191">
        <v>4</v>
      </c>
      <c r="J98" s="191">
        <v>4</v>
      </c>
      <c r="K98" s="202" t="s">
        <v>228</v>
      </c>
      <c r="L98" s="205"/>
      <c r="M98" s="193"/>
      <c r="N98" s="193"/>
      <c r="O98" s="193"/>
      <c r="P98" s="193"/>
      <c r="Q98" s="193"/>
      <c r="R98" s="193"/>
      <c r="S98" s="193"/>
      <c r="T98" s="193"/>
      <c r="U98" s="193"/>
      <c r="V98" s="193"/>
      <c r="W98" s="193"/>
      <c r="X98" s="193"/>
      <c r="Y98" s="193"/>
    </row>
    <row r="99" spans="2:25" ht="75.75" hidden="1" customHeight="1" x14ac:dyDescent="0.25">
      <c r="B99" s="187" t="s">
        <v>219</v>
      </c>
      <c r="C99" s="213" t="s">
        <v>327</v>
      </c>
      <c r="D99" s="214"/>
      <c r="E99" s="214"/>
      <c r="F99" s="207" t="s">
        <v>341</v>
      </c>
      <c r="G99" s="212" t="s">
        <v>349</v>
      </c>
      <c r="H99" s="191" t="s">
        <v>67</v>
      </c>
      <c r="I99" s="191">
        <v>128</v>
      </c>
      <c r="J99" s="191">
        <v>72</v>
      </c>
      <c r="K99" s="202" t="s">
        <v>228</v>
      </c>
      <c r="L99" s="205"/>
      <c r="M99" s="193"/>
      <c r="N99" s="193"/>
      <c r="O99" s="193"/>
      <c r="P99" s="193"/>
      <c r="Q99" s="193"/>
      <c r="R99" s="193"/>
      <c r="S99" s="193"/>
      <c r="T99" s="193"/>
      <c r="U99" s="193"/>
      <c r="V99" s="193"/>
      <c r="W99" s="193"/>
      <c r="X99" s="193"/>
      <c r="Y99" s="193"/>
    </row>
    <row r="100" spans="2:25" ht="59.25" hidden="1" customHeight="1" x14ac:dyDescent="0.25">
      <c r="B100" s="187" t="s">
        <v>219</v>
      </c>
      <c r="C100" s="213" t="s">
        <v>327</v>
      </c>
      <c r="D100" s="214"/>
      <c r="E100" s="214"/>
      <c r="F100" s="207" t="s">
        <v>341</v>
      </c>
      <c r="G100" s="212" t="s">
        <v>350</v>
      </c>
      <c r="H100" s="191" t="s">
        <v>67</v>
      </c>
      <c r="I100" s="191">
        <v>96</v>
      </c>
      <c r="J100" s="191">
        <v>54</v>
      </c>
      <c r="K100" s="202" t="s">
        <v>228</v>
      </c>
      <c r="L100" s="205"/>
      <c r="M100" s="193"/>
      <c r="N100" s="193"/>
      <c r="O100" s="193"/>
      <c r="P100" s="193"/>
      <c r="Q100" s="193"/>
      <c r="R100" s="193"/>
      <c r="S100" s="193"/>
      <c r="T100" s="193"/>
      <c r="U100" s="193"/>
      <c r="V100" s="193"/>
      <c r="W100" s="193"/>
      <c r="X100" s="193"/>
      <c r="Y100" s="193"/>
    </row>
    <row r="101" spans="2:25" ht="60" hidden="1" customHeight="1" x14ac:dyDescent="0.25">
      <c r="B101" s="222" t="s">
        <v>39</v>
      </c>
      <c r="C101" s="223" t="s">
        <v>351</v>
      </c>
      <c r="D101" s="224"/>
      <c r="E101" s="224"/>
      <c r="F101" s="216" t="s">
        <v>352</v>
      </c>
      <c r="G101" s="203" t="s">
        <v>353</v>
      </c>
      <c r="H101" s="202" t="s">
        <v>67</v>
      </c>
      <c r="I101" s="202">
        <v>0</v>
      </c>
      <c r="J101" s="202">
        <v>43</v>
      </c>
      <c r="K101" s="202" t="s">
        <v>297</v>
      </c>
      <c r="L101" s="205"/>
      <c r="M101" s="193"/>
      <c r="N101" s="193"/>
      <c r="O101" s="193"/>
      <c r="P101" s="193"/>
      <c r="Q101" s="193"/>
      <c r="R101" s="193"/>
      <c r="S101" s="193"/>
      <c r="T101" s="193"/>
      <c r="U101" s="193"/>
      <c r="V101" s="193"/>
      <c r="W101" s="193"/>
      <c r="X101" s="193"/>
      <c r="Y101" s="193"/>
    </row>
    <row r="102" spans="2:25" ht="45" hidden="1" customHeight="1" x14ac:dyDescent="0.25">
      <c r="B102" s="222" t="s">
        <v>39</v>
      </c>
      <c r="C102" s="223" t="s">
        <v>351</v>
      </c>
      <c r="D102" s="224"/>
      <c r="E102" s="224"/>
      <c r="F102" s="216" t="s">
        <v>352</v>
      </c>
      <c r="G102" s="203" t="s">
        <v>354</v>
      </c>
      <c r="H102" s="202" t="s">
        <v>67</v>
      </c>
      <c r="I102" s="202">
        <v>43</v>
      </c>
      <c r="J102" s="202">
        <v>43</v>
      </c>
      <c r="K102" s="202" t="s">
        <v>297</v>
      </c>
      <c r="L102" s="205"/>
      <c r="M102" s="193"/>
      <c r="N102" s="193"/>
      <c r="O102" s="193"/>
      <c r="P102" s="193"/>
      <c r="Q102" s="193"/>
      <c r="R102" s="193"/>
      <c r="S102" s="193"/>
      <c r="T102" s="193"/>
      <c r="U102" s="193"/>
      <c r="V102" s="193"/>
      <c r="W102" s="193"/>
      <c r="X102" s="193"/>
      <c r="Y102" s="193"/>
    </row>
    <row r="103" spans="2:25" ht="30.6" hidden="1" customHeight="1" x14ac:dyDescent="0.25">
      <c r="B103" s="222" t="s">
        <v>39</v>
      </c>
      <c r="C103" s="223" t="s">
        <v>351</v>
      </c>
      <c r="D103" s="224"/>
      <c r="E103" s="224"/>
      <c r="F103" s="216" t="s">
        <v>352</v>
      </c>
      <c r="G103" s="203" t="s">
        <v>355</v>
      </c>
      <c r="H103" s="202" t="s">
        <v>67</v>
      </c>
      <c r="I103" s="202">
        <v>43</v>
      </c>
      <c r="J103" s="202">
        <v>43</v>
      </c>
      <c r="K103" s="202" t="s">
        <v>297</v>
      </c>
      <c r="L103" s="205"/>
      <c r="M103" s="193"/>
      <c r="N103" s="193"/>
      <c r="O103" s="193"/>
      <c r="P103" s="193"/>
      <c r="Q103" s="193"/>
      <c r="R103" s="193"/>
      <c r="S103" s="193"/>
      <c r="T103" s="193"/>
      <c r="U103" s="193"/>
      <c r="V103" s="193"/>
      <c r="W103" s="193"/>
      <c r="X103" s="193"/>
      <c r="Y103" s="193"/>
    </row>
    <row r="104" spans="2:25" ht="45" hidden="1" customHeight="1" x14ac:dyDescent="0.25">
      <c r="B104" s="222" t="s">
        <v>39</v>
      </c>
      <c r="C104" s="223" t="s">
        <v>351</v>
      </c>
      <c r="D104" s="224"/>
      <c r="E104" s="224"/>
      <c r="F104" s="216" t="s">
        <v>352</v>
      </c>
      <c r="G104" s="203" t="s">
        <v>356</v>
      </c>
      <c r="H104" s="202" t="s">
        <v>67</v>
      </c>
      <c r="I104" s="202">
        <v>27</v>
      </c>
      <c r="J104" s="202">
        <v>16</v>
      </c>
      <c r="K104" s="202" t="s">
        <v>297</v>
      </c>
      <c r="L104" s="205"/>
      <c r="M104" s="193"/>
      <c r="N104" s="193"/>
      <c r="O104" s="193"/>
      <c r="P104" s="193"/>
      <c r="Q104" s="193"/>
      <c r="R104" s="193"/>
      <c r="S104" s="193"/>
      <c r="T104" s="193"/>
      <c r="U104" s="193"/>
      <c r="V104" s="193"/>
      <c r="W104" s="193"/>
      <c r="X104" s="193"/>
      <c r="Y104" s="193"/>
    </row>
    <row r="105" spans="2:25" ht="45" hidden="1" customHeight="1" x14ac:dyDescent="0.25">
      <c r="B105" s="222" t="s">
        <v>39</v>
      </c>
      <c r="C105" s="223" t="s">
        <v>351</v>
      </c>
      <c r="D105" s="224"/>
      <c r="E105" s="224"/>
      <c r="F105" s="216" t="s">
        <v>352</v>
      </c>
      <c r="G105" s="203" t="s">
        <v>357</v>
      </c>
      <c r="H105" s="202" t="s">
        <v>67</v>
      </c>
      <c r="I105" s="202">
        <v>13</v>
      </c>
      <c r="J105" s="202">
        <v>13</v>
      </c>
      <c r="K105" s="202" t="s">
        <v>297</v>
      </c>
      <c r="L105" s="205"/>
      <c r="M105" s="193"/>
      <c r="N105" s="193"/>
      <c r="O105" s="193"/>
      <c r="P105" s="193"/>
      <c r="Q105" s="193"/>
      <c r="R105" s="193"/>
      <c r="S105" s="193"/>
      <c r="T105" s="193"/>
      <c r="U105" s="193"/>
      <c r="V105" s="193"/>
      <c r="W105" s="193"/>
      <c r="X105" s="193"/>
      <c r="Y105" s="193"/>
    </row>
    <row r="106" spans="2:25" ht="45" hidden="1" customHeight="1" x14ac:dyDescent="0.25">
      <c r="B106" s="222" t="s">
        <v>39</v>
      </c>
      <c r="C106" s="223" t="s">
        <v>351</v>
      </c>
      <c r="D106" s="224"/>
      <c r="E106" s="224"/>
      <c r="F106" s="216" t="s">
        <v>352</v>
      </c>
      <c r="G106" s="203" t="s">
        <v>358</v>
      </c>
      <c r="H106" s="202" t="s">
        <v>67</v>
      </c>
      <c r="I106" s="202">
        <v>13</v>
      </c>
      <c r="J106" s="202">
        <v>13</v>
      </c>
      <c r="K106" s="202" t="s">
        <v>297</v>
      </c>
      <c r="L106" s="205"/>
      <c r="M106" s="193"/>
      <c r="N106" s="193"/>
      <c r="O106" s="193"/>
      <c r="P106" s="193"/>
      <c r="Q106" s="193"/>
      <c r="R106" s="193"/>
      <c r="S106" s="193"/>
      <c r="T106" s="193"/>
      <c r="U106" s="193"/>
      <c r="V106" s="193"/>
      <c r="W106" s="193"/>
      <c r="X106" s="193"/>
      <c r="Y106" s="193"/>
    </row>
    <row r="107" spans="2:25" ht="30.6" hidden="1" customHeight="1" x14ac:dyDescent="0.25">
      <c r="B107" s="222" t="s">
        <v>39</v>
      </c>
      <c r="C107" s="223" t="s">
        <v>351</v>
      </c>
      <c r="D107" s="224"/>
      <c r="E107" s="224"/>
      <c r="F107" s="216" t="s">
        <v>352</v>
      </c>
      <c r="G107" s="203" t="s">
        <v>359</v>
      </c>
      <c r="H107" s="202" t="s">
        <v>360</v>
      </c>
      <c r="I107" s="202">
        <v>0</v>
      </c>
      <c r="J107" s="202">
        <v>20</v>
      </c>
      <c r="K107" s="202" t="s">
        <v>361</v>
      </c>
      <c r="L107" s="205"/>
      <c r="M107" s="193"/>
      <c r="N107" s="193"/>
      <c r="O107" s="193"/>
      <c r="P107" s="193"/>
      <c r="Q107" s="193"/>
      <c r="R107" s="193"/>
      <c r="S107" s="193"/>
      <c r="T107" s="193"/>
      <c r="U107" s="193"/>
      <c r="V107" s="193"/>
      <c r="W107" s="193"/>
      <c r="X107" s="193"/>
      <c r="Y107" s="193"/>
    </row>
    <row r="108" spans="2:25" ht="60" hidden="1" customHeight="1" x14ac:dyDescent="0.25">
      <c r="B108" s="222" t="s">
        <v>39</v>
      </c>
      <c r="C108" s="223" t="s">
        <v>351</v>
      </c>
      <c r="D108" s="224"/>
      <c r="E108" s="224"/>
      <c r="F108" s="216" t="s">
        <v>352</v>
      </c>
      <c r="G108" s="203" t="s">
        <v>362</v>
      </c>
      <c r="H108" s="202" t="s">
        <v>67</v>
      </c>
      <c r="I108" s="202">
        <v>22</v>
      </c>
      <c r="J108" s="202">
        <v>22</v>
      </c>
      <c r="K108" s="202" t="s">
        <v>363</v>
      </c>
      <c r="L108" s="205"/>
      <c r="M108" s="193"/>
      <c r="N108" s="193"/>
      <c r="O108" s="193"/>
      <c r="P108" s="193"/>
      <c r="Q108" s="193"/>
      <c r="R108" s="193"/>
      <c r="S108" s="193"/>
      <c r="T108" s="193"/>
      <c r="U108" s="193"/>
      <c r="V108" s="193"/>
      <c r="W108" s="193"/>
      <c r="X108" s="193"/>
      <c r="Y108" s="193"/>
    </row>
    <row r="109" spans="2:25" ht="60" hidden="1" customHeight="1" x14ac:dyDescent="0.25">
      <c r="B109" s="222" t="s">
        <v>39</v>
      </c>
      <c r="C109" s="223" t="s">
        <v>351</v>
      </c>
      <c r="D109" s="224"/>
      <c r="E109" s="224"/>
      <c r="F109" s="216" t="s">
        <v>352</v>
      </c>
      <c r="G109" s="203" t="s">
        <v>364</v>
      </c>
      <c r="H109" s="202" t="s">
        <v>67</v>
      </c>
      <c r="I109" s="202">
        <v>7</v>
      </c>
      <c r="J109" s="202">
        <v>5</v>
      </c>
      <c r="K109" s="202" t="s">
        <v>363</v>
      </c>
      <c r="L109" s="205"/>
      <c r="M109" s="193"/>
      <c r="N109" s="193"/>
      <c r="O109" s="193"/>
      <c r="P109" s="193"/>
      <c r="Q109" s="193"/>
      <c r="R109" s="193"/>
      <c r="S109" s="193"/>
      <c r="T109" s="193"/>
      <c r="U109" s="193"/>
      <c r="V109" s="193"/>
      <c r="W109" s="193"/>
      <c r="X109" s="193"/>
      <c r="Y109" s="193"/>
    </row>
    <row r="110" spans="2:25" ht="102" hidden="1" customHeight="1" x14ac:dyDescent="0.25">
      <c r="B110" s="222" t="s">
        <v>39</v>
      </c>
      <c r="C110" s="213" t="s">
        <v>365</v>
      </c>
      <c r="D110" s="214"/>
      <c r="E110" s="214"/>
      <c r="F110" s="225" t="s">
        <v>366</v>
      </c>
      <c r="G110" s="212" t="s">
        <v>367</v>
      </c>
      <c r="H110" s="212" t="s">
        <v>67</v>
      </c>
      <c r="I110" s="212">
        <v>0</v>
      </c>
      <c r="J110" s="212">
        <v>3</v>
      </c>
      <c r="K110" s="210" t="s">
        <v>253</v>
      </c>
      <c r="L110" s="205"/>
      <c r="M110" s="193"/>
      <c r="N110" s="193"/>
      <c r="O110" s="193"/>
      <c r="P110" s="193"/>
      <c r="Q110" s="193"/>
      <c r="R110" s="193"/>
      <c r="S110" s="193"/>
      <c r="T110" s="193"/>
      <c r="U110" s="193"/>
      <c r="V110" s="193"/>
      <c r="W110" s="193"/>
      <c r="X110" s="193"/>
      <c r="Y110" s="193"/>
    </row>
    <row r="111" spans="2:25" ht="75" hidden="1" customHeight="1" x14ac:dyDescent="0.25">
      <c r="B111" s="222" t="s">
        <v>39</v>
      </c>
      <c r="C111" s="213" t="s">
        <v>365</v>
      </c>
      <c r="D111" s="214"/>
      <c r="E111" s="214"/>
      <c r="F111" s="225" t="s">
        <v>366</v>
      </c>
      <c r="G111" s="212" t="s">
        <v>368</v>
      </c>
      <c r="H111" s="212" t="s">
        <v>67</v>
      </c>
      <c r="I111" s="212">
        <v>15000</v>
      </c>
      <c r="J111" s="212">
        <v>21970</v>
      </c>
      <c r="K111" s="210" t="s">
        <v>253</v>
      </c>
      <c r="L111" s="205"/>
      <c r="M111" s="193"/>
      <c r="N111" s="193"/>
      <c r="O111" s="193"/>
      <c r="P111" s="193"/>
      <c r="Q111" s="193"/>
      <c r="R111" s="193"/>
      <c r="S111" s="193"/>
      <c r="T111" s="193"/>
      <c r="U111" s="193"/>
      <c r="V111" s="193"/>
      <c r="W111" s="193"/>
      <c r="X111" s="193"/>
      <c r="Y111" s="193"/>
    </row>
    <row r="112" spans="2:25" ht="90" hidden="1" customHeight="1" x14ac:dyDescent="0.25">
      <c r="B112" s="222" t="s">
        <v>39</v>
      </c>
      <c r="C112" s="213" t="s">
        <v>365</v>
      </c>
      <c r="D112" s="214"/>
      <c r="E112" s="214"/>
      <c r="F112" s="225" t="s">
        <v>366</v>
      </c>
      <c r="G112" s="212" t="s">
        <v>369</v>
      </c>
      <c r="H112" s="212" t="s">
        <v>67</v>
      </c>
      <c r="I112" s="212">
        <v>800</v>
      </c>
      <c r="J112" s="212">
        <v>1000</v>
      </c>
      <c r="K112" s="210" t="s">
        <v>253</v>
      </c>
      <c r="L112" s="205"/>
      <c r="M112" s="193"/>
      <c r="N112" s="193"/>
      <c r="O112" s="193"/>
      <c r="P112" s="193"/>
      <c r="Q112" s="193"/>
      <c r="R112" s="193"/>
      <c r="S112" s="193"/>
      <c r="T112" s="193"/>
      <c r="U112" s="193"/>
      <c r="V112" s="193"/>
      <c r="W112" s="193"/>
      <c r="X112" s="193"/>
      <c r="Y112" s="193"/>
    </row>
    <row r="113" spans="2:25" ht="60" hidden="1" customHeight="1" x14ac:dyDescent="0.25">
      <c r="B113" s="222" t="s">
        <v>39</v>
      </c>
      <c r="C113" s="213" t="s">
        <v>365</v>
      </c>
      <c r="D113" s="214"/>
      <c r="E113" s="214"/>
      <c r="F113" s="225" t="s">
        <v>366</v>
      </c>
      <c r="G113" s="212" t="s">
        <v>370</v>
      </c>
      <c r="H113" s="212" t="s">
        <v>67</v>
      </c>
      <c r="I113" s="212">
        <v>600</v>
      </c>
      <c r="J113" s="212">
        <v>2400</v>
      </c>
      <c r="K113" s="210" t="s">
        <v>253</v>
      </c>
      <c r="L113" s="205"/>
      <c r="M113" s="193"/>
      <c r="N113" s="193"/>
      <c r="O113" s="193"/>
      <c r="P113" s="193"/>
      <c r="Q113" s="193"/>
      <c r="R113" s="193"/>
      <c r="S113" s="193"/>
      <c r="T113" s="193"/>
      <c r="U113" s="193"/>
      <c r="V113" s="193"/>
      <c r="W113" s="193"/>
      <c r="X113" s="193"/>
      <c r="Y113" s="193"/>
    </row>
    <row r="114" spans="2:25" ht="60" hidden="1" customHeight="1" x14ac:dyDescent="0.25">
      <c r="B114" s="222" t="s">
        <v>39</v>
      </c>
      <c r="C114" s="213" t="s">
        <v>365</v>
      </c>
      <c r="D114" s="214"/>
      <c r="E114" s="214"/>
      <c r="F114" s="207" t="s">
        <v>371</v>
      </c>
      <c r="G114" s="212" t="s">
        <v>372</v>
      </c>
      <c r="H114" s="191" t="s">
        <v>67</v>
      </c>
      <c r="I114" s="191">
        <v>100</v>
      </c>
      <c r="J114" s="191">
        <v>200</v>
      </c>
      <c r="K114" s="210" t="s">
        <v>253</v>
      </c>
      <c r="L114" s="205"/>
      <c r="M114" s="193"/>
      <c r="N114" s="193"/>
      <c r="O114" s="193"/>
      <c r="P114" s="193"/>
      <c r="Q114" s="193"/>
      <c r="R114" s="193"/>
      <c r="S114" s="193"/>
      <c r="T114" s="193"/>
      <c r="U114" s="193"/>
      <c r="V114" s="193"/>
      <c r="W114" s="193"/>
      <c r="X114" s="193"/>
      <c r="Y114" s="193"/>
    </row>
    <row r="115" spans="2:25" ht="45" hidden="1" customHeight="1" x14ac:dyDescent="0.25">
      <c r="B115" s="222" t="s">
        <v>39</v>
      </c>
      <c r="C115" s="213" t="s">
        <v>365</v>
      </c>
      <c r="D115" s="214"/>
      <c r="E115" s="214"/>
      <c r="F115" s="207" t="s">
        <v>371</v>
      </c>
      <c r="G115" s="212" t="s">
        <v>373</v>
      </c>
      <c r="H115" s="191" t="s">
        <v>67</v>
      </c>
      <c r="I115" s="191">
        <v>0</v>
      </c>
      <c r="J115" s="191">
        <v>1</v>
      </c>
      <c r="K115" s="210" t="s">
        <v>253</v>
      </c>
      <c r="L115" s="205"/>
      <c r="M115" s="193"/>
      <c r="N115" s="193"/>
      <c r="O115" s="193"/>
      <c r="P115" s="193"/>
      <c r="Q115" s="193"/>
      <c r="R115" s="193"/>
      <c r="S115" s="193"/>
      <c r="T115" s="193"/>
      <c r="U115" s="193"/>
      <c r="V115" s="193"/>
      <c r="W115" s="193"/>
      <c r="X115" s="193"/>
      <c r="Y115" s="193"/>
    </row>
    <row r="116" spans="2:25" ht="60" hidden="1" customHeight="1" x14ac:dyDescent="0.25">
      <c r="B116" s="222" t="s">
        <v>39</v>
      </c>
      <c r="C116" s="213" t="s">
        <v>365</v>
      </c>
      <c r="D116" s="214"/>
      <c r="E116" s="214"/>
      <c r="F116" s="207" t="s">
        <v>371</v>
      </c>
      <c r="G116" s="212" t="s">
        <v>374</v>
      </c>
      <c r="H116" s="191" t="s">
        <v>67</v>
      </c>
      <c r="I116" s="191">
        <v>11200</v>
      </c>
      <c r="J116" s="191">
        <v>13000</v>
      </c>
      <c r="K116" s="210" t="s">
        <v>253</v>
      </c>
      <c r="L116" s="205"/>
      <c r="M116" s="193"/>
      <c r="N116" s="193"/>
      <c r="O116" s="193"/>
      <c r="P116" s="193"/>
      <c r="Q116" s="193"/>
      <c r="R116" s="193"/>
      <c r="S116" s="193"/>
      <c r="T116" s="193"/>
      <c r="U116" s="193"/>
      <c r="V116" s="193"/>
      <c r="W116" s="193"/>
      <c r="X116" s="193"/>
      <c r="Y116" s="193"/>
    </row>
    <row r="117" spans="2:25" ht="45" hidden="1" customHeight="1" x14ac:dyDescent="0.25">
      <c r="B117" s="222" t="s">
        <v>39</v>
      </c>
      <c r="C117" s="213" t="s">
        <v>365</v>
      </c>
      <c r="D117" s="214"/>
      <c r="E117" s="214"/>
      <c r="F117" s="207" t="s">
        <v>371</v>
      </c>
      <c r="G117" s="212" t="s">
        <v>375</v>
      </c>
      <c r="H117" s="191" t="s">
        <v>67</v>
      </c>
      <c r="I117" s="191">
        <v>0</v>
      </c>
      <c r="J117" s="191">
        <v>1</v>
      </c>
      <c r="K117" s="210" t="s">
        <v>253</v>
      </c>
      <c r="L117" s="205"/>
      <c r="M117" s="193"/>
      <c r="N117" s="193"/>
      <c r="O117" s="193"/>
      <c r="P117" s="193"/>
      <c r="Q117" s="193"/>
      <c r="R117" s="193"/>
      <c r="S117" s="193"/>
      <c r="T117" s="193"/>
      <c r="U117" s="193"/>
      <c r="V117" s="193"/>
      <c r="W117" s="193"/>
      <c r="X117" s="193"/>
      <c r="Y117" s="193"/>
    </row>
    <row r="118" spans="2:25" ht="90" hidden="1" customHeight="1" x14ac:dyDescent="0.25">
      <c r="B118" s="222" t="s">
        <v>39</v>
      </c>
      <c r="C118" s="213" t="s">
        <v>365</v>
      </c>
      <c r="D118" s="214"/>
      <c r="E118" s="214"/>
      <c r="F118" s="207" t="s">
        <v>371</v>
      </c>
      <c r="G118" s="212" t="s">
        <v>376</v>
      </c>
      <c r="H118" s="191" t="s">
        <v>67</v>
      </c>
      <c r="I118" s="191">
        <v>0</v>
      </c>
      <c r="J118" s="191">
        <v>1</v>
      </c>
      <c r="K118" s="196" t="s">
        <v>225</v>
      </c>
      <c r="L118" s="205"/>
      <c r="M118" s="206"/>
      <c r="N118" s="206"/>
      <c r="O118" s="206">
        <v>1</v>
      </c>
      <c r="P118" s="199"/>
      <c r="Q118" s="199"/>
      <c r="R118" s="193"/>
      <c r="S118" s="193"/>
      <c r="T118" s="193"/>
      <c r="U118" s="193"/>
      <c r="V118" s="193"/>
      <c r="W118" s="193"/>
      <c r="X118" s="193"/>
      <c r="Y118" s="193"/>
    </row>
    <row r="119" spans="2:25" ht="45" hidden="1" customHeight="1" x14ac:dyDescent="0.25">
      <c r="B119" s="222" t="s">
        <v>39</v>
      </c>
      <c r="C119" s="213" t="s">
        <v>365</v>
      </c>
      <c r="D119" s="214"/>
      <c r="E119" s="214"/>
      <c r="F119" s="207" t="s">
        <v>377</v>
      </c>
      <c r="G119" s="203" t="s">
        <v>378</v>
      </c>
      <c r="H119" s="202" t="s">
        <v>67</v>
      </c>
      <c r="I119" s="202">
        <v>250</v>
      </c>
      <c r="J119" s="202">
        <v>1000</v>
      </c>
      <c r="K119" s="210" t="s">
        <v>253</v>
      </c>
      <c r="L119" s="205"/>
      <c r="M119" s="193"/>
      <c r="N119" s="193"/>
      <c r="O119" s="193"/>
      <c r="P119" s="193"/>
      <c r="Q119" s="193"/>
      <c r="R119" s="193"/>
      <c r="S119" s="193"/>
      <c r="T119" s="193"/>
      <c r="U119" s="193"/>
      <c r="V119" s="193"/>
      <c r="W119" s="193"/>
      <c r="X119" s="193"/>
      <c r="Y119" s="193"/>
    </row>
    <row r="120" spans="2:25" ht="60" hidden="1" customHeight="1" x14ac:dyDescent="0.25">
      <c r="B120" s="222" t="s">
        <v>39</v>
      </c>
      <c r="C120" s="213" t="s">
        <v>365</v>
      </c>
      <c r="D120" s="214"/>
      <c r="E120" s="214"/>
      <c r="F120" s="207" t="s">
        <v>377</v>
      </c>
      <c r="G120" s="203" t="s">
        <v>379</v>
      </c>
      <c r="H120" s="202" t="s">
        <v>67</v>
      </c>
      <c r="I120" s="202">
        <v>4800</v>
      </c>
      <c r="J120" s="202">
        <v>5000</v>
      </c>
      <c r="K120" s="210" t="s">
        <v>253</v>
      </c>
      <c r="L120" s="205"/>
      <c r="M120" s="193"/>
      <c r="N120" s="193"/>
      <c r="O120" s="193"/>
      <c r="P120" s="193"/>
      <c r="Q120" s="193"/>
      <c r="R120" s="193"/>
      <c r="S120" s="193"/>
      <c r="T120" s="193"/>
      <c r="U120" s="193"/>
      <c r="V120" s="193"/>
      <c r="W120" s="193"/>
      <c r="X120" s="193"/>
      <c r="Y120" s="193"/>
    </row>
    <row r="121" spans="2:25" ht="66" hidden="1" customHeight="1" x14ac:dyDescent="0.25">
      <c r="B121" s="222" t="s">
        <v>39</v>
      </c>
      <c r="C121" s="213" t="s">
        <v>365</v>
      </c>
      <c r="D121" s="214"/>
      <c r="E121" s="214"/>
      <c r="F121" s="207" t="s">
        <v>377</v>
      </c>
      <c r="G121" s="203" t="s">
        <v>380</v>
      </c>
      <c r="H121" s="202" t="s">
        <v>67</v>
      </c>
      <c r="I121" s="202">
        <v>0</v>
      </c>
      <c r="J121" s="202">
        <v>1</v>
      </c>
      <c r="K121" s="196" t="s">
        <v>225</v>
      </c>
      <c r="L121" s="205"/>
      <c r="M121" s="206">
        <v>1</v>
      </c>
      <c r="N121" s="206"/>
      <c r="O121" s="206"/>
      <c r="P121" s="199"/>
      <c r="Q121" s="199"/>
      <c r="R121" s="193"/>
      <c r="S121" s="193"/>
      <c r="T121" s="193"/>
      <c r="U121" s="193"/>
      <c r="V121" s="193"/>
      <c r="W121" s="193"/>
      <c r="X121" s="193"/>
      <c r="Y121" s="193"/>
    </row>
    <row r="122" spans="2:25" ht="75" hidden="1" customHeight="1" x14ac:dyDescent="0.25">
      <c r="B122" s="222" t="s">
        <v>39</v>
      </c>
      <c r="C122" s="213" t="s">
        <v>365</v>
      </c>
      <c r="D122" s="214"/>
      <c r="E122" s="214"/>
      <c r="F122" s="207" t="s">
        <v>381</v>
      </c>
      <c r="G122" s="212" t="s">
        <v>382</v>
      </c>
      <c r="H122" s="212" t="s">
        <v>67</v>
      </c>
      <c r="I122" s="212">
        <v>0</v>
      </c>
      <c r="J122" s="212">
        <v>2</v>
      </c>
      <c r="K122" s="210" t="s">
        <v>253</v>
      </c>
      <c r="L122" s="205"/>
      <c r="M122" s="193"/>
      <c r="N122" s="193"/>
      <c r="O122" s="193"/>
      <c r="P122" s="193"/>
      <c r="Q122" s="193"/>
      <c r="R122" s="193"/>
      <c r="S122" s="193"/>
      <c r="T122" s="193"/>
      <c r="U122" s="193"/>
      <c r="V122" s="193"/>
      <c r="W122" s="193"/>
      <c r="X122" s="193"/>
      <c r="Y122" s="193"/>
    </row>
    <row r="123" spans="2:25" ht="45" hidden="1" customHeight="1" x14ac:dyDescent="0.25">
      <c r="B123" s="222" t="s">
        <v>39</v>
      </c>
      <c r="C123" s="213" t="s">
        <v>365</v>
      </c>
      <c r="D123" s="214"/>
      <c r="E123" s="214"/>
      <c r="F123" s="207" t="s">
        <v>381</v>
      </c>
      <c r="G123" s="212" t="s">
        <v>383</v>
      </c>
      <c r="H123" s="212" t="s">
        <v>67</v>
      </c>
      <c r="I123" s="212">
        <v>0</v>
      </c>
      <c r="J123" s="212">
        <v>1</v>
      </c>
      <c r="K123" s="210" t="s">
        <v>253</v>
      </c>
      <c r="L123" s="205"/>
      <c r="M123" s="193"/>
      <c r="N123" s="193"/>
      <c r="O123" s="193"/>
      <c r="P123" s="193"/>
      <c r="Q123" s="193"/>
      <c r="R123" s="193"/>
      <c r="S123" s="193"/>
      <c r="T123" s="193"/>
      <c r="U123" s="193"/>
      <c r="V123" s="193"/>
      <c r="W123" s="193"/>
      <c r="X123" s="193"/>
      <c r="Y123" s="193"/>
    </row>
    <row r="124" spans="2:25" ht="75" hidden="1" customHeight="1" x14ac:dyDescent="0.25">
      <c r="B124" s="222" t="s">
        <v>39</v>
      </c>
      <c r="C124" s="213" t="s">
        <v>365</v>
      </c>
      <c r="D124" s="214"/>
      <c r="E124" s="214"/>
      <c r="F124" s="207" t="s">
        <v>381</v>
      </c>
      <c r="G124" s="212" t="s">
        <v>384</v>
      </c>
      <c r="H124" s="212" t="s">
        <v>67</v>
      </c>
      <c r="I124" s="212">
        <v>0</v>
      </c>
      <c r="J124" s="212">
        <v>3</v>
      </c>
      <c r="K124" s="210" t="s">
        <v>253</v>
      </c>
      <c r="L124" s="205"/>
      <c r="M124" s="193"/>
      <c r="N124" s="193"/>
      <c r="O124" s="193"/>
      <c r="P124" s="193"/>
      <c r="Q124" s="193"/>
      <c r="R124" s="193"/>
      <c r="S124" s="193"/>
      <c r="T124" s="193"/>
      <c r="U124" s="193"/>
      <c r="V124" s="193"/>
      <c r="W124" s="193"/>
      <c r="X124" s="193"/>
      <c r="Y124" s="193"/>
    </row>
    <row r="125" spans="2:25" ht="45" hidden="1" customHeight="1" x14ac:dyDescent="0.25">
      <c r="B125" s="222" t="s">
        <v>39</v>
      </c>
      <c r="C125" s="213" t="s">
        <v>365</v>
      </c>
      <c r="D125" s="214"/>
      <c r="E125" s="214"/>
      <c r="F125" s="207" t="s">
        <v>381</v>
      </c>
      <c r="G125" s="212" t="s">
        <v>385</v>
      </c>
      <c r="H125" s="212" t="s">
        <v>67</v>
      </c>
      <c r="I125" s="212">
        <v>4</v>
      </c>
      <c r="J125" s="212">
        <v>4</v>
      </c>
      <c r="K125" s="210" t="s">
        <v>253</v>
      </c>
      <c r="L125" s="205"/>
      <c r="M125" s="193"/>
      <c r="N125" s="193"/>
      <c r="O125" s="193"/>
      <c r="P125" s="193"/>
      <c r="Q125" s="193"/>
      <c r="R125" s="193"/>
      <c r="S125" s="193"/>
      <c r="T125" s="193"/>
      <c r="U125" s="193"/>
      <c r="V125" s="193"/>
      <c r="W125" s="193"/>
      <c r="X125" s="193"/>
      <c r="Y125" s="193"/>
    </row>
    <row r="126" spans="2:25" ht="45" hidden="1" customHeight="1" x14ac:dyDescent="0.25">
      <c r="B126" s="222" t="s">
        <v>39</v>
      </c>
      <c r="C126" s="213" t="s">
        <v>365</v>
      </c>
      <c r="D126" s="214"/>
      <c r="E126" s="214"/>
      <c r="F126" s="207" t="s">
        <v>381</v>
      </c>
      <c r="G126" s="212" t="s">
        <v>386</v>
      </c>
      <c r="H126" s="212" t="s">
        <v>67</v>
      </c>
      <c r="I126" s="212">
        <v>16</v>
      </c>
      <c r="J126" s="212">
        <v>16</v>
      </c>
      <c r="K126" s="210" t="s">
        <v>253</v>
      </c>
      <c r="L126" s="205"/>
      <c r="M126" s="193"/>
      <c r="N126" s="193"/>
      <c r="O126" s="193"/>
      <c r="P126" s="193"/>
      <c r="Q126" s="193"/>
      <c r="R126" s="193"/>
      <c r="S126" s="193"/>
      <c r="T126" s="193"/>
      <c r="U126" s="193"/>
      <c r="V126" s="193"/>
      <c r="W126" s="193"/>
      <c r="X126" s="193"/>
      <c r="Y126" s="193"/>
    </row>
    <row r="127" spans="2:25" ht="45" hidden="1" customHeight="1" x14ac:dyDescent="0.25">
      <c r="B127" s="222" t="s">
        <v>39</v>
      </c>
      <c r="C127" s="213" t="s">
        <v>365</v>
      </c>
      <c r="D127" s="214"/>
      <c r="E127" s="214"/>
      <c r="F127" s="207" t="s">
        <v>381</v>
      </c>
      <c r="G127" s="212" t="s">
        <v>387</v>
      </c>
      <c r="H127" s="212" t="s">
        <v>67</v>
      </c>
      <c r="I127" s="212">
        <v>3</v>
      </c>
      <c r="J127" s="212">
        <v>3</v>
      </c>
      <c r="K127" s="210" t="s">
        <v>253</v>
      </c>
      <c r="L127" s="205"/>
      <c r="M127" s="193"/>
      <c r="N127" s="193"/>
      <c r="O127" s="193"/>
      <c r="P127" s="193"/>
      <c r="Q127" s="193"/>
      <c r="R127" s="193"/>
      <c r="S127" s="193"/>
      <c r="T127" s="193"/>
      <c r="U127" s="193"/>
      <c r="V127" s="193"/>
      <c r="W127" s="193"/>
      <c r="X127" s="193"/>
      <c r="Y127" s="193"/>
    </row>
    <row r="128" spans="2:25" ht="45" hidden="1" customHeight="1" x14ac:dyDescent="0.25">
      <c r="B128" s="222" t="s">
        <v>39</v>
      </c>
      <c r="C128" s="213" t="s">
        <v>365</v>
      </c>
      <c r="D128" s="214"/>
      <c r="E128" s="214"/>
      <c r="F128" s="207" t="s">
        <v>381</v>
      </c>
      <c r="G128" s="212" t="s">
        <v>388</v>
      </c>
      <c r="H128" s="212" t="s">
        <v>67</v>
      </c>
      <c r="I128" s="212">
        <v>0</v>
      </c>
      <c r="J128" s="212">
        <v>1</v>
      </c>
      <c r="K128" s="210" t="s">
        <v>253</v>
      </c>
      <c r="L128" s="205"/>
      <c r="M128" s="193"/>
      <c r="N128" s="193"/>
      <c r="O128" s="193"/>
      <c r="P128" s="193"/>
      <c r="Q128" s="193"/>
      <c r="R128" s="193"/>
      <c r="S128" s="193"/>
      <c r="T128" s="193"/>
      <c r="U128" s="193"/>
      <c r="V128" s="193"/>
      <c r="W128" s="193"/>
      <c r="X128" s="193"/>
      <c r="Y128" s="193"/>
    </row>
    <row r="129" spans="2:25" ht="45" hidden="1" customHeight="1" x14ac:dyDescent="0.25">
      <c r="B129" s="222" t="s">
        <v>39</v>
      </c>
      <c r="C129" s="213" t="s">
        <v>365</v>
      </c>
      <c r="D129" s="214"/>
      <c r="E129" s="214"/>
      <c r="F129" s="207" t="s">
        <v>389</v>
      </c>
      <c r="G129" s="212" t="s">
        <v>390</v>
      </c>
      <c r="H129" s="191" t="s">
        <v>67</v>
      </c>
      <c r="I129" s="191">
        <v>0</v>
      </c>
      <c r="J129" s="191">
        <v>1</v>
      </c>
      <c r="K129" s="210" t="s">
        <v>253</v>
      </c>
      <c r="L129" s="205"/>
      <c r="M129" s="193"/>
      <c r="N129" s="193"/>
      <c r="O129" s="193"/>
      <c r="P129" s="193"/>
      <c r="Q129" s="193"/>
      <c r="R129" s="193"/>
      <c r="S129" s="193"/>
      <c r="T129" s="193"/>
      <c r="U129" s="193"/>
      <c r="V129" s="193"/>
      <c r="W129" s="193"/>
      <c r="X129" s="193"/>
      <c r="Y129" s="193"/>
    </row>
    <row r="130" spans="2:25" ht="60" hidden="1" customHeight="1" x14ac:dyDescent="0.25">
      <c r="B130" s="222" t="s">
        <v>39</v>
      </c>
      <c r="C130" s="213" t="s">
        <v>365</v>
      </c>
      <c r="D130" s="214"/>
      <c r="E130" s="214"/>
      <c r="F130" s="207" t="s">
        <v>389</v>
      </c>
      <c r="G130" s="212" t="s">
        <v>391</v>
      </c>
      <c r="H130" s="191" t="s">
        <v>67</v>
      </c>
      <c r="I130" s="191">
        <v>0</v>
      </c>
      <c r="J130" s="191">
        <v>400</v>
      </c>
      <c r="K130" s="210" t="s">
        <v>253</v>
      </c>
      <c r="L130" s="205"/>
      <c r="M130" s="193"/>
      <c r="N130" s="193"/>
      <c r="O130" s="193"/>
      <c r="P130" s="193"/>
      <c r="Q130" s="193"/>
      <c r="R130" s="193"/>
      <c r="S130" s="193"/>
      <c r="T130" s="193"/>
      <c r="U130" s="193"/>
      <c r="V130" s="193"/>
      <c r="W130" s="193"/>
      <c r="X130" s="193"/>
      <c r="Y130" s="193"/>
    </row>
    <row r="131" spans="2:25" ht="75" hidden="1" customHeight="1" x14ac:dyDescent="0.25">
      <c r="B131" s="222" t="s">
        <v>39</v>
      </c>
      <c r="C131" s="213" t="s">
        <v>365</v>
      </c>
      <c r="D131" s="214"/>
      <c r="E131" s="214"/>
      <c r="F131" s="207" t="s">
        <v>389</v>
      </c>
      <c r="G131" s="212" t="s">
        <v>392</v>
      </c>
      <c r="H131" s="191" t="s">
        <v>67</v>
      </c>
      <c r="I131" s="215">
        <v>6019</v>
      </c>
      <c r="J131" s="191">
        <v>7000</v>
      </c>
      <c r="K131" s="210" t="s">
        <v>253</v>
      </c>
      <c r="L131" s="205"/>
      <c r="M131" s="193"/>
      <c r="N131" s="193"/>
      <c r="O131" s="193"/>
      <c r="P131" s="193"/>
      <c r="Q131" s="193"/>
      <c r="R131" s="193"/>
      <c r="S131" s="193"/>
      <c r="T131" s="193"/>
      <c r="U131" s="193"/>
      <c r="V131" s="193"/>
      <c r="W131" s="193"/>
      <c r="X131" s="193"/>
      <c r="Y131" s="193"/>
    </row>
    <row r="132" spans="2:25" ht="75" hidden="1" customHeight="1" x14ac:dyDescent="0.25">
      <c r="B132" s="222" t="s">
        <v>39</v>
      </c>
      <c r="C132" s="213" t="s">
        <v>365</v>
      </c>
      <c r="D132" s="214"/>
      <c r="E132" s="214"/>
      <c r="F132" s="207" t="s">
        <v>389</v>
      </c>
      <c r="G132" s="212" t="s">
        <v>393</v>
      </c>
      <c r="H132" s="191" t="s">
        <v>67</v>
      </c>
      <c r="I132" s="191">
        <v>0</v>
      </c>
      <c r="J132" s="191">
        <v>1</v>
      </c>
      <c r="K132" s="210" t="s">
        <v>253</v>
      </c>
      <c r="L132" s="205"/>
      <c r="M132" s="193"/>
      <c r="N132" s="193"/>
      <c r="O132" s="193"/>
      <c r="P132" s="193"/>
      <c r="Q132" s="193"/>
      <c r="R132" s="193"/>
      <c r="S132" s="193"/>
      <c r="T132" s="193"/>
      <c r="U132" s="193"/>
      <c r="V132" s="193"/>
      <c r="W132" s="193"/>
      <c r="X132" s="193"/>
      <c r="Y132" s="193"/>
    </row>
    <row r="133" spans="2:25" ht="45" hidden="1" customHeight="1" x14ac:dyDescent="0.25">
      <c r="B133" s="222" t="s">
        <v>39</v>
      </c>
      <c r="C133" s="213" t="s">
        <v>365</v>
      </c>
      <c r="D133" s="214"/>
      <c r="E133" s="214"/>
      <c r="F133" s="207" t="s">
        <v>389</v>
      </c>
      <c r="G133" s="212" t="s">
        <v>394</v>
      </c>
      <c r="H133" s="191" t="s">
        <v>67</v>
      </c>
      <c r="I133" s="191">
        <v>0</v>
      </c>
      <c r="J133" s="191">
        <v>1</v>
      </c>
      <c r="K133" s="210" t="s">
        <v>253</v>
      </c>
      <c r="L133" s="205"/>
      <c r="M133" s="193"/>
      <c r="N133" s="193"/>
      <c r="O133" s="193"/>
      <c r="P133" s="193"/>
      <c r="Q133" s="193"/>
      <c r="R133" s="193"/>
      <c r="S133" s="193"/>
      <c r="T133" s="193"/>
      <c r="U133" s="193"/>
      <c r="V133" s="193"/>
      <c r="W133" s="193"/>
      <c r="X133" s="193"/>
      <c r="Y133" s="193"/>
    </row>
    <row r="134" spans="2:25" ht="91.5" hidden="1" customHeight="1" x14ac:dyDescent="0.25">
      <c r="B134" s="222" t="s">
        <v>39</v>
      </c>
      <c r="C134" s="213" t="s">
        <v>365</v>
      </c>
      <c r="D134" s="214"/>
      <c r="E134" s="214"/>
      <c r="F134" s="207" t="s">
        <v>395</v>
      </c>
      <c r="G134" s="226" t="s">
        <v>396</v>
      </c>
      <c r="H134" s="226" t="s">
        <v>67</v>
      </c>
      <c r="I134" s="226">
        <v>129</v>
      </c>
      <c r="J134" s="191">
        <v>240</v>
      </c>
      <c r="K134" s="210" t="s">
        <v>253</v>
      </c>
      <c r="L134" s="205"/>
      <c r="M134" s="193"/>
      <c r="N134" s="193"/>
      <c r="O134" s="193"/>
      <c r="P134" s="193"/>
      <c r="Q134" s="193"/>
      <c r="R134" s="193"/>
      <c r="S134" s="193"/>
      <c r="T134" s="193"/>
      <c r="U134" s="193"/>
      <c r="V134" s="193"/>
      <c r="W134" s="193"/>
      <c r="X134" s="193"/>
      <c r="Y134" s="193"/>
    </row>
    <row r="135" spans="2:25" ht="45" hidden="1" customHeight="1" x14ac:dyDescent="0.25">
      <c r="B135" s="222" t="s">
        <v>39</v>
      </c>
      <c r="C135" s="213" t="s">
        <v>365</v>
      </c>
      <c r="D135" s="214"/>
      <c r="E135" s="214"/>
      <c r="F135" s="207" t="s">
        <v>395</v>
      </c>
      <c r="G135" s="212" t="s">
        <v>397</v>
      </c>
      <c r="H135" s="191" t="s">
        <v>67</v>
      </c>
      <c r="I135" s="191">
        <v>1</v>
      </c>
      <c r="J135" s="191">
        <v>3</v>
      </c>
      <c r="K135" s="210" t="s">
        <v>253</v>
      </c>
      <c r="L135" s="205"/>
      <c r="M135" s="193"/>
      <c r="N135" s="193"/>
      <c r="O135" s="193"/>
      <c r="P135" s="193"/>
      <c r="Q135" s="193"/>
      <c r="R135" s="193"/>
      <c r="S135" s="193"/>
      <c r="T135" s="193"/>
      <c r="U135" s="193"/>
      <c r="V135" s="193"/>
      <c r="W135" s="193"/>
      <c r="X135" s="193"/>
      <c r="Y135" s="193"/>
    </row>
    <row r="136" spans="2:25" ht="75" hidden="1" customHeight="1" x14ac:dyDescent="0.25">
      <c r="B136" s="222" t="s">
        <v>39</v>
      </c>
      <c r="C136" s="213" t="s">
        <v>365</v>
      </c>
      <c r="D136" s="214"/>
      <c r="E136" s="214"/>
      <c r="F136" s="207" t="s">
        <v>395</v>
      </c>
      <c r="G136" s="212" t="s">
        <v>398</v>
      </c>
      <c r="H136" s="191" t="s">
        <v>67</v>
      </c>
      <c r="I136" s="191">
        <v>0</v>
      </c>
      <c r="J136" s="191">
        <v>1</v>
      </c>
      <c r="K136" s="210" t="s">
        <v>253</v>
      </c>
      <c r="L136" s="205"/>
      <c r="M136" s="193"/>
      <c r="N136" s="193"/>
      <c r="O136" s="193"/>
      <c r="P136" s="193"/>
      <c r="Q136" s="193"/>
      <c r="R136" s="193"/>
      <c r="S136" s="193"/>
      <c r="T136" s="193"/>
      <c r="U136" s="193"/>
      <c r="V136" s="193"/>
      <c r="W136" s="193"/>
      <c r="X136" s="193"/>
      <c r="Y136" s="193"/>
    </row>
    <row r="137" spans="2:25" ht="60" hidden="1" customHeight="1" x14ac:dyDescent="0.25">
      <c r="B137" s="222" t="s">
        <v>39</v>
      </c>
      <c r="C137" s="213" t="s">
        <v>365</v>
      </c>
      <c r="D137" s="214"/>
      <c r="E137" s="214"/>
      <c r="F137" s="207" t="s">
        <v>395</v>
      </c>
      <c r="G137" s="212" t="s">
        <v>399</v>
      </c>
      <c r="H137" s="191" t="s">
        <v>67</v>
      </c>
      <c r="I137" s="191">
        <v>0</v>
      </c>
      <c r="J137" s="191">
        <v>4</v>
      </c>
      <c r="K137" s="210" t="s">
        <v>253</v>
      </c>
      <c r="L137" s="205"/>
      <c r="M137" s="193"/>
      <c r="N137" s="193"/>
      <c r="O137" s="193"/>
      <c r="P137" s="193"/>
      <c r="Q137" s="193"/>
      <c r="R137" s="193"/>
      <c r="S137" s="193"/>
      <c r="T137" s="193"/>
      <c r="U137" s="193"/>
      <c r="V137" s="193"/>
      <c r="W137" s="193"/>
      <c r="X137" s="193"/>
      <c r="Y137" s="193"/>
    </row>
    <row r="138" spans="2:25" ht="45" hidden="1" customHeight="1" x14ac:dyDescent="0.25">
      <c r="B138" s="222" t="s">
        <v>39</v>
      </c>
      <c r="C138" s="213" t="s">
        <v>365</v>
      </c>
      <c r="D138" s="214"/>
      <c r="E138" s="214"/>
      <c r="F138" s="207" t="s">
        <v>395</v>
      </c>
      <c r="G138" s="212" t="s">
        <v>400</v>
      </c>
      <c r="H138" s="191" t="s">
        <v>67</v>
      </c>
      <c r="I138" s="191">
        <v>0</v>
      </c>
      <c r="J138" s="191">
        <v>1</v>
      </c>
      <c r="K138" s="210" t="s">
        <v>253</v>
      </c>
      <c r="L138" s="205"/>
      <c r="M138" s="193"/>
      <c r="N138" s="193"/>
      <c r="O138" s="193"/>
      <c r="P138" s="193"/>
      <c r="Q138" s="193"/>
      <c r="R138" s="193"/>
      <c r="S138" s="193"/>
      <c r="T138" s="193"/>
      <c r="U138" s="193"/>
      <c r="V138" s="193"/>
      <c r="W138" s="193"/>
      <c r="X138" s="193"/>
      <c r="Y138" s="193"/>
    </row>
    <row r="139" spans="2:25" ht="57" hidden="1" customHeight="1" x14ac:dyDescent="0.25">
      <c r="B139" s="222" t="s">
        <v>39</v>
      </c>
      <c r="C139" s="213" t="s">
        <v>365</v>
      </c>
      <c r="D139" s="214"/>
      <c r="E139" s="214"/>
      <c r="F139" s="207" t="s">
        <v>395</v>
      </c>
      <c r="G139" s="212" t="s">
        <v>401</v>
      </c>
      <c r="H139" s="191" t="s">
        <v>67</v>
      </c>
      <c r="I139" s="191">
        <v>0</v>
      </c>
      <c r="J139" s="191">
        <v>1</v>
      </c>
      <c r="K139" s="196" t="s">
        <v>225</v>
      </c>
      <c r="L139" s="205"/>
      <c r="M139" s="206">
        <v>1</v>
      </c>
      <c r="N139" s="206"/>
      <c r="O139" s="206"/>
      <c r="P139" s="206"/>
      <c r="Q139" s="206"/>
      <c r="R139" s="193"/>
      <c r="S139" s="193"/>
      <c r="T139" s="193"/>
      <c r="U139" s="193"/>
      <c r="V139" s="193"/>
      <c r="W139" s="193"/>
      <c r="X139" s="193"/>
      <c r="Y139" s="193"/>
    </row>
    <row r="140" spans="2:25" ht="45" hidden="1" customHeight="1" x14ac:dyDescent="0.25">
      <c r="B140" s="222" t="s">
        <v>39</v>
      </c>
      <c r="C140" s="213" t="s">
        <v>365</v>
      </c>
      <c r="D140" s="214"/>
      <c r="E140" s="214"/>
      <c r="F140" s="207" t="s">
        <v>402</v>
      </c>
      <c r="G140" s="212" t="s">
        <v>403</v>
      </c>
      <c r="H140" s="212" t="s">
        <v>67</v>
      </c>
      <c r="I140" s="212">
        <v>1</v>
      </c>
      <c r="J140" s="212">
        <v>4</v>
      </c>
      <c r="K140" s="210" t="s">
        <v>253</v>
      </c>
      <c r="L140" s="205"/>
      <c r="M140" s="193"/>
      <c r="N140" s="193"/>
      <c r="O140" s="193"/>
      <c r="P140" s="193"/>
      <c r="Q140" s="193"/>
      <c r="R140" s="193"/>
      <c r="S140" s="193"/>
      <c r="T140" s="193"/>
      <c r="U140" s="193"/>
      <c r="V140" s="193"/>
      <c r="W140" s="193"/>
      <c r="X140" s="193"/>
      <c r="Y140" s="193"/>
    </row>
    <row r="141" spans="2:25" ht="45" hidden="1" customHeight="1" x14ac:dyDescent="0.25">
      <c r="B141" s="222" t="s">
        <v>39</v>
      </c>
      <c r="C141" s="213" t="s">
        <v>365</v>
      </c>
      <c r="D141" s="214"/>
      <c r="E141" s="214"/>
      <c r="F141" s="207" t="s">
        <v>402</v>
      </c>
      <c r="G141" s="212" t="s">
        <v>404</v>
      </c>
      <c r="H141" s="212" t="s">
        <v>67</v>
      </c>
      <c r="I141" s="212">
        <v>1</v>
      </c>
      <c r="J141" s="212">
        <v>1</v>
      </c>
      <c r="K141" s="210" t="s">
        <v>253</v>
      </c>
      <c r="L141" s="205"/>
      <c r="M141" s="193"/>
      <c r="N141" s="193"/>
      <c r="O141" s="193"/>
      <c r="P141" s="193"/>
      <c r="Q141" s="193"/>
      <c r="R141" s="193"/>
      <c r="S141" s="193"/>
      <c r="T141" s="193"/>
      <c r="U141" s="193"/>
      <c r="V141" s="193"/>
      <c r="W141" s="193"/>
      <c r="X141" s="193"/>
      <c r="Y141" s="193"/>
    </row>
    <row r="142" spans="2:25" ht="45" hidden="1" customHeight="1" x14ac:dyDescent="0.25">
      <c r="B142" s="222" t="s">
        <v>39</v>
      </c>
      <c r="C142" s="213" t="s">
        <v>365</v>
      </c>
      <c r="D142" s="214"/>
      <c r="E142" s="214"/>
      <c r="F142" s="207" t="s">
        <v>402</v>
      </c>
      <c r="G142" s="212" t="s">
        <v>405</v>
      </c>
      <c r="H142" s="212" t="s">
        <v>67</v>
      </c>
      <c r="I142" s="212">
        <v>0</v>
      </c>
      <c r="J142" s="212">
        <v>1</v>
      </c>
      <c r="K142" s="210" t="s">
        <v>253</v>
      </c>
      <c r="L142" s="205"/>
      <c r="M142" s="193"/>
      <c r="N142" s="193"/>
      <c r="O142" s="193"/>
      <c r="P142" s="193"/>
      <c r="Q142" s="193"/>
      <c r="R142" s="193"/>
      <c r="S142" s="193"/>
      <c r="T142" s="193"/>
      <c r="U142" s="193"/>
      <c r="V142" s="193"/>
      <c r="W142" s="193"/>
      <c r="X142" s="193"/>
      <c r="Y142" s="193"/>
    </row>
    <row r="143" spans="2:25" ht="31.15" hidden="1" customHeight="1" x14ac:dyDescent="0.25">
      <c r="B143" s="222" t="s">
        <v>39</v>
      </c>
      <c r="C143" s="213" t="s">
        <v>365</v>
      </c>
      <c r="D143" s="214"/>
      <c r="E143" s="214"/>
      <c r="F143" s="207" t="s">
        <v>402</v>
      </c>
      <c r="G143" s="212" t="s">
        <v>406</v>
      </c>
      <c r="H143" s="212" t="s">
        <v>67</v>
      </c>
      <c r="I143" s="212">
        <v>0</v>
      </c>
      <c r="J143" s="212">
        <v>1</v>
      </c>
      <c r="K143" s="196" t="s">
        <v>297</v>
      </c>
      <c r="L143" s="205"/>
      <c r="M143" s="193"/>
      <c r="N143" s="193"/>
      <c r="O143" s="193"/>
      <c r="P143" s="193"/>
      <c r="Q143" s="193"/>
      <c r="R143" s="193"/>
      <c r="S143" s="193"/>
      <c r="T143" s="193"/>
      <c r="U143" s="193"/>
      <c r="V143" s="193"/>
      <c r="W143" s="193"/>
      <c r="X143" s="193"/>
      <c r="Y143" s="193"/>
    </row>
    <row r="144" spans="2:25" ht="60" hidden="1" customHeight="1" x14ac:dyDescent="0.25">
      <c r="B144" s="222" t="s">
        <v>39</v>
      </c>
      <c r="C144" s="213" t="s">
        <v>365</v>
      </c>
      <c r="D144" s="214"/>
      <c r="E144" s="214"/>
      <c r="F144" s="189" t="s">
        <v>407</v>
      </c>
      <c r="G144" s="212" t="s">
        <v>408</v>
      </c>
      <c r="H144" s="191" t="s">
        <v>67</v>
      </c>
      <c r="I144" s="191">
        <v>698</v>
      </c>
      <c r="J144" s="191">
        <v>600</v>
      </c>
      <c r="K144" s="210" t="s">
        <v>253</v>
      </c>
      <c r="L144" s="205"/>
      <c r="M144" s="193"/>
      <c r="N144" s="193"/>
      <c r="O144" s="193"/>
      <c r="P144" s="193"/>
      <c r="Q144" s="193"/>
      <c r="R144" s="193"/>
      <c r="S144" s="193"/>
      <c r="T144" s="193"/>
      <c r="U144" s="193"/>
      <c r="V144" s="193"/>
      <c r="W144" s="193"/>
      <c r="X144" s="193"/>
      <c r="Y144" s="193"/>
    </row>
    <row r="145" spans="2:25" ht="60" hidden="1" customHeight="1" x14ac:dyDescent="0.25">
      <c r="B145" s="222" t="s">
        <v>39</v>
      </c>
      <c r="C145" s="213" t="s">
        <v>365</v>
      </c>
      <c r="D145" s="214"/>
      <c r="E145" s="214"/>
      <c r="F145" s="189" t="s">
        <v>407</v>
      </c>
      <c r="G145" s="212" t="s">
        <v>409</v>
      </c>
      <c r="H145" s="191" t="s">
        <v>67</v>
      </c>
      <c r="I145" s="191">
        <v>4</v>
      </c>
      <c r="J145" s="191">
        <v>4</v>
      </c>
      <c r="K145" s="210" t="s">
        <v>253</v>
      </c>
      <c r="L145" s="205"/>
      <c r="M145" s="193"/>
      <c r="N145" s="193"/>
      <c r="O145" s="193"/>
      <c r="P145" s="193"/>
      <c r="Q145" s="193"/>
      <c r="R145" s="193"/>
      <c r="S145" s="193"/>
      <c r="T145" s="193"/>
      <c r="U145" s="193"/>
      <c r="V145" s="193"/>
      <c r="W145" s="193"/>
      <c r="X145" s="193"/>
      <c r="Y145" s="193"/>
    </row>
    <row r="146" spans="2:25" ht="60" hidden="1" customHeight="1" x14ac:dyDescent="0.25">
      <c r="B146" s="222" t="s">
        <v>39</v>
      </c>
      <c r="C146" s="213" t="s">
        <v>365</v>
      </c>
      <c r="D146" s="214"/>
      <c r="E146" s="214"/>
      <c r="F146" s="189" t="s">
        <v>407</v>
      </c>
      <c r="G146" s="212" t="s">
        <v>410</v>
      </c>
      <c r="H146" s="191" t="s">
        <v>67</v>
      </c>
      <c r="I146" s="191">
        <v>0</v>
      </c>
      <c r="J146" s="191">
        <v>1</v>
      </c>
      <c r="K146" s="210" t="s">
        <v>253</v>
      </c>
      <c r="L146" s="205"/>
      <c r="M146" s="193"/>
      <c r="N146" s="193"/>
      <c r="O146" s="193"/>
      <c r="P146" s="193"/>
      <c r="Q146" s="193"/>
      <c r="R146" s="193"/>
      <c r="S146" s="193"/>
      <c r="T146" s="193"/>
      <c r="U146" s="193"/>
      <c r="V146" s="193"/>
      <c r="W146" s="193"/>
      <c r="X146" s="193"/>
      <c r="Y146" s="193"/>
    </row>
    <row r="147" spans="2:25" ht="60" hidden="1" customHeight="1" x14ac:dyDescent="0.25">
      <c r="B147" s="222" t="s">
        <v>39</v>
      </c>
      <c r="C147" s="213" t="s">
        <v>365</v>
      </c>
      <c r="D147" s="214"/>
      <c r="E147" s="214"/>
      <c r="F147" s="189" t="s">
        <v>407</v>
      </c>
      <c r="G147" s="212" t="s">
        <v>411</v>
      </c>
      <c r="H147" s="191" t="s">
        <v>67</v>
      </c>
      <c r="I147" s="191">
        <v>4</v>
      </c>
      <c r="J147" s="191">
        <v>4</v>
      </c>
      <c r="K147" s="210" t="s">
        <v>253</v>
      </c>
      <c r="L147" s="205"/>
      <c r="M147" s="193"/>
      <c r="N147" s="193"/>
      <c r="O147" s="193"/>
      <c r="P147" s="193"/>
      <c r="Q147" s="193"/>
      <c r="R147" s="193"/>
      <c r="S147" s="193"/>
      <c r="T147" s="193"/>
      <c r="U147" s="193"/>
      <c r="V147" s="193"/>
      <c r="W147" s="193"/>
      <c r="X147" s="193"/>
      <c r="Y147" s="193"/>
    </row>
    <row r="148" spans="2:25" ht="45" hidden="1" customHeight="1" x14ac:dyDescent="0.25">
      <c r="B148" s="222" t="s">
        <v>39</v>
      </c>
      <c r="C148" s="213" t="s">
        <v>365</v>
      </c>
      <c r="D148" s="214"/>
      <c r="E148" s="214"/>
      <c r="F148" s="189" t="s">
        <v>407</v>
      </c>
      <c r="G148" s="212" t="s">
        <v>412</v>
      </c>
      <c r="H148" s="191" t="s">
        <v>67</v>
      </c>
      <c r="I148" s="191">
        <v>4</v>
      </c>
      <c r="J148" s="191">
        <v>4</v>
      </c>
      <c r="K148" s="210" t="s">
        <v>253</v>
      </c>
      <c r="L148" s="205"/>
      <c r="M148" s="193"/>
      <c r="N148" s="193"/>
      <c r="O148" s="193"/>
      <c r="P148" s="193"/>
      <c r="Q148" s="193"/>
      <c r="R148" s="193"/>
      <c r="S148" s="193"/>
      <c r="T148" s="193"/>
      <c r="U148" s="193"/>
      <c r="V148" s="193"/>
      <c r="W148" s="193"/>
      <c r="X148" s="193"/>
      <c r="Y148" s="193"/>
    </row>
    <row r="149" spans="2:25" ht="75" hidden="1" customHeight="1" x14ac:dyDescent="0.25">
      <c r="B149" s="222" t="s">
        <v>39</v>
      </c>
      <c r="C149" s="213" t="s">
        <v>365</v>
      </c>
      <c r="D149" s="214"/>
      <c r="E149" s="214"/>
      <c r="F149" s="189" t="s">
        <v>407</v>
      </c>
      <c r="G149" s="212" t="s">
        <v>413</v>
      </c>
      <c r="H149" s="191" t="s">
        <v>67</v>
      </c>
      <c r="I149" s="191">
        <v>18</v>
      </c>
      <c r="J149" s="191">
        <v>18</v>
      </c>
      <c r="K149" s="210" t="s">
        <v>253</v>
      </c>
      <c r="L149" s="205"/>
      <c r="M149" s="193"/>
      <c r="N149" s="193"/>
      <c r="O149" s="193"/>
      <c r="P149" s="193"/>
      <c r="Q149" s="193"/>
      <c r="R149" s="193"/>
      <c r="S149" s="193"/>
      <c r="T149" s="193"/>
      <c r="U149" s="193"/>
      <c r="V149" s="193"/>
      <c r="W149" s="193"/>
      <c r="X149" s="193"/>
      <c r="Y149" s="193"/>
    </row>
    <row r="150" spans="2:25" ht="45" hidden="1" customHeight="1" x14ac:dyDescent="0.25">
      <c r="B150" s="222" t="s">
        <v>39</v>
      </c>
      <c r="C150" s="213" t="s">
        <v>365</v>
      </c>
      <c r="D150" s="214"/>
      <c r="E150" s="214"/>
      <c r="F150" s="189" t="s">
        <v>407</v>
      </c>
      <c r="G150" s="212" t="s">
        <v>414</v>
      </c>
      <c r="H150" s="191" t="s">
        <v>67</v>
      </c>
      <c r="I150" s="191">
        <v>0</v>
      </c>
      <c r="J150" s="191">
        <v>1</v>
      </c>
      <c r="K150" s="191" t="s">
        <v>415</v>
      </c>
      <c r="L150" s="205"/>
      <c r="M150" s="193"/>
      <c r="N150" s="193"/>
      <c r="O150" s="193"/>
      <c r="P150" s="193"/>
      <c r="Q150" s="193"/>
      <c r="R150" s="193"/>
      <c r="S150" s="193"/>
      <c r="T150" s="193"/>
      <c r="U150" s="193"/>
      <c r="V150" s="193"/>
      <c r="W150" s="193"/>
      <c r="X150" s="193"/>
      <c r="Y150" s="193"/>
    </row>
    <row r="151" spans="2:25" ht="45" hidden="1" customHeight="1" x14ac:dyDescent="0.2">
      <c r="B151" s="222" t="s">
        <v>39</v>
      </c>
      <c r="C151" s="187" t="s">
        <v>416</v>
      </c>
      <c r="D151" s="188"/>
      <c r="E151" s="188"/>
      <c r="F151" s="216" t="s">
        <v>417</v>
      </c>
      <c r="G151" s="209" t="s">
        <v>418</v>
      </c>
      <c r="H151" s="208" t="s">
        <v>67</v>
      </c>
      <c r="I151" s="208">
        <v>1</v>
      </c>
      <c r="J151" s="208">
        <v>3</v>
      </c>
      <c r="K151" s="208" t="s">
        <v>283</v>
      </c>
      <c r="L151" s="205"/>
      <c r="M151" s="193"/>
      <c r="N151" s="193"/>
      <c r="O151" s="193"/>
      <c r="P151" s="193"/>
      <c r="Q151" s="193"/>
      <c r="R151" s="193"/>
      <c r="S151" s="193"/>
      <c r="T151" s="193"/>
      <c r="U151" s="193"/>
      <c r="V151" s="193"/>
      <c r="W151" s="193"/>
      <c r="X151" s="193"/>
      <c r="Y151" s="193"/>
    </row>
    <row r="152" spans="2:25" ht="75" hidden="1" customHeight="1" x14ac:dyDescent="0.2">
      <c r="B152" s="222" t="s">
        <v>39</v>
      </c>
      <c r="C152" s="187" t="s">
        <v>416</v>
      </c>
      <c r="D152" s="188"/>
      <c r="E152" s="188"/>
      <c r="F152" s="216" t="s">
        <v>417</v>
      </c>
      <c r="G152" s="209" t="s">
        <v>419</v>
      </c>
      <c r="H152" s="208" t="s">
        <v>67</v>
      </c>
      <c r="I152" s="208">
        <v>8648</v>
      </c>
      <c r="J152" s="208">
        <v>9167</v>
      </c>
      <c r="K152" s="208" t="s">
        <v>283</v>
      </c>
      <c r="L152" s="205"/>
      <c r="M152" s="193"/>
      <c r="N152" s="193"/>
      <c r="O152" s="193"/>
      <c r="P152" s="193"/>
      <c r="Q152" s="193"/>
      <c r="R152" s="193"/>
      <c r="S152" s="193"/>
      <c r="T152" s="193"/>
      <c r="U152" s="193"/>
      <c r="V152" s="193"/>
      <c r="W152" s="193"/>
      <c r="X152" s="193"/>
      <c r="Y152" s="193"/>
    </row>
    <row r="153" spans="2:25" ht="46.9" hidden="1" customHeight="1" x14ac:dyDescent="0.25">
      <c r="B153" s="222" t="s">
        <v>39</v>
      </c>
      <c r="C153" s="213" t="s">
        <v>420</v>
      </c>
      <c r="D153" s="214"/>
      <c r="E153" s="214"/>
      <c r="F153" s="216" t="s">
        <v>421</v>
      </c>
      <c r="G153" s="212" t="s">
        <v>422</v>
      </c>
      <c r="H153" s="191" t="s">
        <v>67</v>
      </c>
      <c r="I153" s="191">
        <v>0</v>
      </c>
      <c r="J153" s="191">
        <v>1</v>
      </c>
      <c r="K153" s="191" t="s">
        <v>297</v>
      </c>
      <c r="L153" s="205"/>
      <c r="M153" s="193"/>
      <c r="N153" s="193"/>
      <c r="O153" s="193"/>
      <c r="P153" s="193"/>
      <c r="Q153" s="193"/>
      <c r="R153" s="193"/>
      <c r="S153" s="193"/>
      <c r="T153" s="193"/>
      <c r="U153" s="193"/>
      <c r="V153" s="193"/>
      <c r="W153" s="193"/>
      <c r="X153" s="193"/>
      <c r="Y153" s="193"/>
    </row>
    <row r="154" spans="2:25" ht="46.9" hidden="1" customHeight="1" x14ac:dyDescent="0.25">
      <c r="B154" s="222" t="s">
        <v>39</v>
      </c>
      <c r="C154" s="213" t="s">
        <v>420</v>
      </c>
      <c r="D154" s="214"/>
      <c r="E154" s="214"/>
      <c r="F154" s="216" t="s">
        <v>421</v>
      </c>
      <c r="G154" s="212" t="s">
        <v>423</v>
      </c>
      <c r="H154" s="191" t="s">
        <v>67</v>
      </c>
      <c r="I154" s="191">
        <v>0</v>
      </c>
      <c r="J154" s="191">
        <v>1</v>
      </c>
      <c r="K154" s="191" t="s">
        <v>297</v>
      </c>
      <c r="L154" s="205"/>
      <c r="M154" s="193"/>
      <c r="N154" s="193"/>
      <c r="O154" s="193"/>
      <c r="P154" s="193"/>
      <c r="Q154" s="193"/>
      <c r="R154" s="193"/>
      <c r="S154" s="193"/>
      <c r="T154" s="193"/>
      <c r="U154" s="193"/>
      <c r="V154" s="193"/>
      <c r="W154" s="193"/>
      <c r="X154" s="193"/>
      <c r="Y154" s="193"/>
    </row>
    <row r="155" spans="2:25" ht="46.9" hidden="1" customHeight="1" x14ac:dyDescent="0.25">
      <c r="B155" s="222" t="s">
        <v>39</v>
      </c>
      <c r="C155" s="213" t="s">
        <v>420</v>
      </c>
      <c r="D155" s="214"/>
      <c r="E155" s="214"/>
      <c r="F155" s="216" t="s">
        <v>421</v>
      </c>
      <c r="G155" s="212" t="s">
        <v>424</v>
      </c>
      <c r="H155" s="191" t="s">
        <v>67</v>
      </c>
      <c r="I155" s="191">
        <v>0</v>
      </c>
      <c r="J155" s="191">
        <v>1</v>
      </c>
      <c r="K155" s="191" t="s">
        <v>425</v>
      </c>
      <c r="L155" s="205"/>
      <c r="M155" s="193"/>
      <c r="N155" s="193"/>
      <c r="O155" s="193"/>
      <c r="P155" s="193"/>
      <c r="Q155" s="193"/>
      <c r="R155" s="193"/>
      <c r="S155" s="193"/>
      <c r="T155" s="193"/>
      <c r="U155" s="193"/>
      <c r="V155" s="193"/>
      <c r="W155" s="193"/>
      <c r="X155" s="193"/>
      <c r="Y155" s="193"/>
    </row>
    <row r="156" spans="2:25" ht="57" hidden="1" customHeight="1" x14ac:dyDescent="0.25">
      <c r="B156" s="222" t="s">
        <v>39</v>
      </c>
      <c r="C156" s="213" t="s">
        <v>420</v>
      </c>
      <c r="D156" s="214"/>
      <c r="E156" s="214"/>
      <c r="F156" s="216" t="s">
        <v>426</v>
      </c>
      <c r="G156" s="212" t="s">
        <v>427</v>
      </c>
      <c r="H156" s="212" t="s">
        <v>67</v>
      </c>
      <c r="I156" s="212">
        <v>14</v>
      </c>
      <c r="J156" s="212">
        <v>14</v>
      </c>
      <c r="K156" s="191" t="s">
        <v>297</v>
      </c>
      <c r="L156" s="205"/>
      <c r="M156" s="193"/>
      <c r="N156" s="193"/>
      <c r="O156" s="193"/>
      <c r="P156" s="193"/>
      <c r="Q156" s="193"/>
      <c r="R156" s="193"/>
      <c r="S156" s="193"/>
      <c r="T156" s="193"/>
      <c r="U156" s="193"/>
      <c r="V156" s="193"/>
      <c r="W156" s="193"/>
      <c r="X156" s="193"/>
      <c r="Y156" s="193"/>
    </row>
    <row r="157" spans="2:25" ht="63" hidden="1" customHeight="1" x14ac:dyDescent="0.25">
      <c r="B157" s="222" t="s">
        <v>39</v>
      </c>
      <c r="C157" s="213" t="s">
        <v>420</v>
      </c>
      <c r="D157" s="214"/>
      <c r="E157" s="214"/>
      <c r="F157" s="216" t="s">
        <v>426</v>
      </c>
      <c r="G157" s="212" t="s">
        <v>428</v>
      </c>
      <c r="H157" s="212" t="s">
        <v>67</v>
      </c>
      <c r="I157" s="212">
        <v>1</v>
      </c>
      <c r="J157" s="212">
        <v>1</v>
      </c>
      <c r="K157" s="191" t="s">
        <v>297</v>
      </c>
      <c r="L157" s="205"/>
      <c r="M157" s="193"/>
      <c r="N157" s="193"/>
      <c r="O157" s="193"/>
      <c r="P157" s="193"/>
      <c r="Q157" s="193"/>
      <c r="R157" s="193"/>
      <c r="S157" s="193"/>
      <c r="T157" s="193"/>
      <c r="U157" s="193"/>
      <c r="V157" s="193"/>
      <c r="W157" s="193"/>
      <c r="X157" s="193"/>
      <c r="Y157" s="193"/>
    </row>
    <row r="158" spans="2:25" ht="49.5" hidden="1" customHeight="1" x14ac:dyDescent="0.25">
      <c r="B158" s="222" t="s">
        <v>39</v>
      </c>
      <c r="C158" s="213" t="s">
        <v>420</v>
      </c>
      <c r="D158" s="214"/>
      <c r="E158" s="214"/>
      <c r="F158" s="216" t="s">
        <v>426</v>
      </c>
      <c r="G158" s="212" t="s">
        <v>429</v>
      </c>
      <c r="H158" s="212" t="s">
        <v>67</v>
      </c>
      <c r="I158" s="212">
        <v>0</v>
      </c>
      <c r="J158" s="212">
        <v>1</v>
      </c>
      <c r="K158" s="191" t="s">
        <v>297</v>
      </c>
      <c r="L158" s="205"/>
      <c r="M158" s="193"/>
      <c r="N158" s="193"/>
      <c r="O158" s="193"/>
      <c r="P158" s="193"/>
      <c r="Q158" s="193"/>
      <c r="R158" s="193"/>
      <c r="S158" s="193"/>
      <c r="T158" s="193"/>
      <c r="U158" s="193"/>
      <c r="V158" s="193"/>
      <c r="W158" s="193"/>
      <c r="X158" s="193"/>
      <c r="Y158" s="193"/>
    </row>
    <row r="159" spans="2:25" ht="59.25" hidden="1" customHeight="1" x14ac:dyDescent="0.25">
      <c r="B159" s="222" t="s">
        <v>39</v>
      </c>
      <c r="C159" s="213" t="s">
        <v>420</v>
      </c>
      <c r="D159" s="214"/>
      <c r="E159" s="214"/>
      <c r="F159" s="216" t="s">
        <v>426</v>
      </c>
      <c r="G159" s="212" t="s">
        <v>430</v>
      </c>
      <c r="H159" s="212" t="s">
        <v>67</v>
      </c>
      <c r="I159" s="212">
        <v>0</v>
      </c>
      <c r="J159" s="212">
        <v>13</v>
      </c>
      <c r="K159" s="191" t="s">
        <v>297</v>
      </c>
      <c r="L159" s="205"/>
      <c r="M159" s="193"/>
      <c r="N159" s="193"/>
      <c r="O159" s="193"/>
      <c r="P159" s="193"/>
      <c r="Q159" s="193"/>
      <c r="R159" s="193"/>
      <c r="S159" s="193"/>
      <c r="T159" s="193"/>
      <c r="U159" s="193"/>
      <c r="V159" s="193"/>
      <c r="W159" s="193"/>
      <c r="X159" s="193"/>
      <c r="Y159" s="193"/>
    </row>
    <row r="160" spans="2:25" ht="60" hidden="1" customHeight="1" x14ac:dyDescent="0.25">
      <c r="B160" s="222" t="s">
        <v>39</v>
      </c>
      <c r="C160" s="213" t="s">
        <v>431</v>
      </c>
      <c r="D160" s="214"/>
      <c r="E160" s="214"/>
      <c r="F160" s="216" t="s">
        <v>432</v>
      </c>
      <c r="G160" s="212" t="s">
        <v>433</v>
      </c>
      <c r="H160" s="191" t="s">
        <v>67</v>
      </c>
      <c r="I160" s="191">
        <v>1500</v>
      </c>
      <c r="J160" s="191">
        <v>1300</v>
      </c>
      <c r="K160" s="191" t="s">
        <v>297</v>
      </c>
      <c r="L160" s="205"/>
      <c r="M160" s="193"/>
      <c r="N160" s="193"/>
      <c r="O160" s="193"/>
      <c r="P160" s="193"/>
      <c r="Q160" s="193"/>
      <c r="R160" s="193"/>
      <c r="S160" s="193"/>
      <c r="T160" s="193"/>
      <c r="U160" s="193"/>
      <c r="V160" s="193"/>
      <c r="W160" s="193"/>
      <c r="X160" s="193"/>
      <c r="Y160" s="193"/>
    </row>
    <row r="161" spans="2:25" ht="51.75" hidden="1" customHeight="1" x14ac:dyDescent="0.25">
      <c r="B161" s="222" t="s">
        <v>39</v>
      </c>
      <c r="C161" s="213" t="s">
        <v>431</v>
      </c>
      <c r="D161" s="214"/>
      <c r="E161" s="214"/>
      <c r="F161" s="216" t="s">
        <v>432</v>
      </c>
      <c r="G161" s="212" t="s">
        <v>434</v>
      </c>
      <c r="H161" s="191" t="s">
        <v>67</v>
      </c>
      <c r="I161" s="191">
        <v>789</v>
      </c>
      <c r="J161" s="191">
        <v>1000</v>
      </c>
      <c r="K161" s="191" t="s">
        <v>297</v>
      </c>
      <c r="L161" s="205"/>
      <c r="M161" s="193"/>
      <c r="N161" s="193"/>
      <c r="O161" s="193"/>
      <c r="P161" s="193"/>
      <c r="Q161" s="193"/>
      <c r="R161" s="193"/>
      <c r="S161" s="193"/>
      <c r="T161" s="193"/>
      <c r="U161" s="193"/>
      <c r="V161" s="193"/>
      <c r="W161" s="193"/>
      <c r="X161" s="193"/>
      <c r="Y161" s="193"/>
    </row>
    <row r="162" spans="2:25" ht="75" hidden="1" customHeight="1" x14ac:dyDescent="0.25">
      <c r="B162" s="222" t="s">
        <v>39</v>
      </c>
      <c r="C162" s="213" t="s">
        <v>431</v>
      </c>
      <c r="D162" s="214"/>
      <c r="E162" s="214"/>
      <c r="F162" s="216" t="s">
        <v>432</v>
      </c>
      <c r="G162" s="212" t="s">
        <v>435</v>
      </c>
      <c r="H162" s="212" t="s">
        <v>67</v>
      </c>
      <c r="I162" s="191">
        <v>2</v>
      </c>
      <c r="J162" s="191">
        <v>1</v>
      </c>
      <c r="K162" s="191" t="s">
        <v>297</v>
      </c>
      <c r="L162" s="205"/>
      <c r="M162" s="193"/>
      <c r="N162" s="193"/>
      <c r="O162" s="193"/>
      <c r="P162" s="193"/>
      <c r="Q162" s="193"/>
      <c r="R162" s="193"/>
      <c r="S162" s="193"/>
      <c r="T162" s="193"/>
      <c r="U162" s="193"/>
      <c r="V162" s="193"/>
      <c r="W162" s="193"/>
      <c r="X162" s="193"/>
      <c r="Y162" s="193"/>
    </row>
    <row r="163" spans="2:25" ht="55.5" hidden="1" customHeight="1" x14ac:dyDescent="0.25">
      <c r="B163" s="222" t="s">
        <v>39</v>
      </c>
      <c r="C163" s="213" t="s">
        <v>431</v>
      </c>
      <c r="D163" s="214"/>
      <c r="E163" s="214"/>
      <c r="F163" s="216" t="s">
        <v>432</v>
      </c>
      <c r="G163" s="212" t="s">
        <v>436</v>
      </c>
      <c r="H163" s="212" t="s">
        <v>67</v>
      </c>
      <c r="I163" s="191">
        <v>0</v>
      </c>
      <c r="J163" s="191">
        <v>15</v>
      </c>
      <c r="K163" s="191" t="s">
        <v>297</v>
      </c>
      <c r="L163" s="205"/>
      <c r="M163" s="193"/>
      <c r="N163" s="193"/>
      <c r="O163" s="193"/>
      <c r="P163" s="193"/>
      <c r="Q163" s="193"/>
      <c r="R163" s="193"/>
      <c r="S163" s="193"/>
      <c r="T163" s="193"/>
      <c r="U163" s="193"/>
      <c r="V163" s="193"/>
      <c r="W163" s="193"/>
      <c r="X163" s="193"/>
      <c r="Y163" s="193"/>
    </row>
    <row r="164" spans="2:25" ht="60" hidden="1" customHeight="1" x14ac:dyDescent="0.25">
      <c r="B164" s="222" t="s">
        <v>39</v>
      </c>
      <c r="C164" s="213" t="s">
        <v>431</v>
      </c>
      <c r="D164" s="214"/>
      <c r="E164" s="214"/>
      <c r="F164" s="216" t="s">
        <v>432</v>
      </c>
      <c r="G164" s="212" t="s">
        <v>437</v>
      </c>
      <c r="H164" s="212" t="s">
        <v>67</v>
      </c>
      <c r="I164" s="191">
        <v>0</v>
      </c>
      <c r="J164" s="191">
        <v>43</v>
      </c>
      <c r="K164" s="191" t="s">
        <v>297</v>
      </c>
      <c r="L164" s="205"/>
      <c r="M164" s="193"/>
      <c r="N164" s="193"/>
      <c r="O164" s="193"/>
      <c r="P164" s="193"/>
      <c r="Q164" s="193"/>
      <c r="R164" s="193"/>
      <c r="S164" s="193"/>
      <c r="T164" s="193"/>
      <c r="U164" s="193"/>
      <c r="V164" s="193"/>
      <c r="W164" s="193"/>
      <c r="X164" s="193"/>
      <c r="Y164" s="193"/>
    </row>
    <row r="165" spans="2:25" ht="75" hidden="1" customHeight="1" x14ac:dyDescent="0.25">
      <c r="B165" s="222" t="s">
        <v>39</v>
      </c>
      <c r="C165" s="213" t="s">
        <v>431</v>
      </c>
      <c r="D165" s="214"/>
      <c r="E165" s="214"/>
      <c r="F165" s="216" t="s">
        <v>432</v>
      </c>
      <c r="G165" s="212" t="s">
        <v>438</v>
      </c>
      <c r="H165" s="212" t="s">
        <v>67</v>
      </c>
      <c r="I165" s="191">
        <v>1</v>
      </c>
      <c r="J165" s="191">
        <v>1</v>
      </c>
      <c r="K165" s="191" t="s">
        <v>297</v>
      </c>
      <c r="L165" s="205"/>
      <c r="M165" s="193"/>
      <c r="N165" s="193"/>
      <c r="O165" s="193"/>
      <c r="P165" s="193"/>
      <c r="Q165" s="193"/>
      <c r="R165" s="193"/>
      <c r="S165" s="193"/>
      <c r="T165" s="193"/>
      <c r="U165" s="193"/>
      <c r="V165" s="193"/>
      <c r="W165" s="193"/>
      <c r="X165" s="193"/>
      <c r="Y165" s="193"/>
    </row>
    <row r="166" spans="2:25" ht="48" hidden="1" customHeight="1" x14ac:dyDescent="0.25">
      <c r="B166" s="222" t="s">
        <v>39</v>
      </c>
      <c r="C166" s="213" t="s">
        <v>431</v>
      </c>
      <c r="D166" s="214"/>
      <c r="E166" s="214"/>
      <c r="F166" s="216" t="s">
        <v>432</v>
      </c>
      <c r="G166" s="212" t="s">
        <v>439</v>
      </c>
      <c r="H166" s="212" t="s">
        <v>67</v>
      </c>
      <c r="I166" s="191">
        <v>0</v>
      </c>
      <c r="J166" s="191">
        <v>1</v>
      </c>
      <c r="K166" s="191" t="s">
        <v>297</v>
      </c>
      <c r="L166" s="205"/>
      <c r="M166" s="193"/>
      <c r="N166" s="193"/>
      <c r="O166" s="193"/>
      <c r="P166" s="193"/>
      <c r="Q166" s="193"/>
      <c r="R166" s="193"/>
      <c r="S166" s="193"/>
      <c r="T166" s="193"/>
      <c r="U166" s="193"/>
      <c r="V166" s="193"/>
      <c r="W166" s="193"/>
      <c r="X166" s="193"/>
      <c r="Y166" s="193"/>
    </row>
    <row r="167" spans="2:25" ht="46.9" hidden="1" customHeight="1" x14ac:dyDescent="0.25">
      <c r="B167" s="222" t="s">
        <v>39</v>
      </c>
      <c r="C167" s="213" t="s">
        <v>440</v>
      </c>
      <c r="D167" s="214"/>
      <c r="E167" s="214"/>
      <c r="F167" s="207" t="s">
        <v>441</v>
      </c>
      <c r="G167" s="212" t="s">
        <v>442</v>
      </c>
      <c r="H167" s="212" t="s">
        <v>67</v>
      </c>
      <c r="I167" s="212">
        <v>1</v>
      </c>
      <c r="J167" s="212">
        <v>1</v>
      </c>
      <c r="K167" s="191" t="s">
        <v>297</v>
      </c>
      <c r="L167" s="205"/>
      <c r="M167" s="193"/>
      <c r="N167" s="193"/>
      <c r="O167" s="193"/>
      <c r="P167" s="193"/>
      <c r="Q167" s="193"/>
      <c r="R167" s="193"/>
      <c r="S167" s="193"/>
      <c r="T167" s="193"/>
      <c r="U167" s="193"/>
      <c r="V167" s="193"/>
      <c r="W167" s="193"/>
      <c r="X167" s="193"/>
      <c r="Y167" s="193"/>
    </row>
    <row r="168" spans="2:25" ht="60" hidden="1" customHeight="1" x14ac:dyDescent="0.25">
      <c r="B168" s="222" t="s">
        <v>39</v>
      </c>
      <c r="C168" s="213" t="s">
        <v>440</v>
      </c>
      <c r="D168" s="214"/>
      <c r="E168" s="214"/>
      <c r="F168" s="207" t="s">
        <v>441</v>
      </c>
      <c r="G168" s="212" t="s">
        <v>443</v>
      </c>
      <c r="H168" s="212" t="s">
        <v>67</v>
      </c>
      <c r="I168" s="227">
        <v>1581</v>
      </c>
      <c r="J168" s="227">
        <v>1700</v>
      </c>
      <c r="K168" s="191" t="s">
        <v>297</v>
      </c>
      <c r="L168" s="205"/>
      <c r="M168" s="193"/>
      <c r="N168" s="193"/>
      <c r="O168" s="193"/>
      <c r="P168" s="193"/>
      <c r="Q168" s="193"/>
      <c r="R168" s="193"/>
      <c r="S168" s="193"/>
      <c r="T168" s="193"/>
      <c r="U168" s="193"/>
      <c r="V168" s="193"/>
      <c r="W168" s="193"/>
      <c r="X168" s="193"/>
      <c r="Y168" s="193"/>
    </row>
    <row r="169" spans="2:25" ht="46.9" hidden="1" customHeight="1" x14ac:dyDescent="0.25">
      <c r="B169" s="222" t="s">
        <v>39</v>
      </c>
      <c r="C169" s="213" t="s">
        <v>440</v>
      </c>
      <c r="D169" s="214"/>
      <c r="E169" s="214"/>
      <c r="F169" s="207" t="s">
        <v>441</v>
      </c>
      <c r="G169" s="212" t="s">
        <v>444</v>
      </c>
      <c r="H169" s="212" t="s">
        <v>67</v>
      </c>
      <c r="I169" s="227">
        <v>1915</v>
      </c>
      <c r="J169" s="227">
        <v>2000</v>
      </c>
      <c r="K169" s="191" t="s">
        <v>297</v>
      </c>
      <c r="L169" s="205"/>
      <c r="M169" s="193"/>
      <c r="N169" s="193"/>
      <c r="O169" s="193"/>
      <c r="P169" s="193"/>
      <c r="Q169" s="193"/>
      <c r="R169" s="193"/>
      <c r="S169" s="193"/>
      <c r="T169" s="193"/>
      <c r="U169" s="193"/>
      <c r="V169" s="193"/>
      <c r="W169" s="193"/>
      <c r="X169" s="193"/>
      <c r="Y169" s="193"/>
    </row>
    <row r="170" spans="2:25" ht="46.9" hidden="1" customHeight="1" x14ac:dyDescent="0.25">
      <c r="B170" s="222" t="s">
        <v>39</v>
      </c>
      <c r="C170" s="213" t="s">
        <v>440</v>
      </c>
      <c r="D170" s="214"/>
      <c r="E170" s="214"/>
      <c r="F170" s="207" t="s">
        <v>441</v>
      </c>
      <c r="G170" s="212" t="s">
        <v>445</v>
      </c>
      <c r="H170" s="212" t="s">
        <v>67</v>
      </c>
      <c r="I170" s="212">
        <v>1</v>
      </c>
      <c r="J170" s="212">
        <v>1</v>
      </c>
      <c r="K170" s="191" t="s">
        <v>297</v>
      </c>
      <c r="L170" s="205"/>
      <c r="M170" s="193"/>
      <c r="N170" s="193"/>
      <c r="O170" s="193"/>
      <c r="P170" s="193"/>
      <c r="Q170" s="193"/>
      <c r="R170" s="193"/>
      <c r="S170" s="193"/>
      <c r="T170" s="193"/>
      <c r="U170" s="193"/>
      <c r="V170" s="193"/>
      <c r="W170" s="193"/>
      <c r="X170" s="193"/>
      <c r="Y170" s="193"/>
    </row>
    <row r="171" spans="2:25" ht="60" hidden="1" customHeight="1" x14ac:dyDescent="0.25">
      <c r="B171" s="222" t="s">
        <v>39</v>
      </c>
      <c r="C171" s="213" t="s">
        <v>440</v>
      </c>
      <c r="D171" s="214"/>
      <c r="E171" s="214"/>
      <c r="F171" s="207" t="s">
        <v>441</v>
      </c>
      <c r="G171" s="212" t="s">
        <v>446</v>
      </c>
      <c r="H171" s="212" t="s">
        <v>67</v>
      </c>
      <c r="I171" s="212">
        <v>13</v>
      </c>
      <c r="J171" s="212">
        <v>13</v>
      </c>
      <c r="K171" s="191" t="s">
        <v>297</v>
      </c>
      <c r="L171" s="205"/>
      <c r="M171" s="193"/>
      <c r="N171" s="193"/>
      <c r="O171" s="193"/>
      <c r="P171" s="193"/>
      <c r="Q171" s="193"/>
      <c r="R171" s="193"/>
      <c r="S171" s="193"/>
      <c r="T171" s="193"/>
      <c r="U171" s="193"/>
      <c r="V171" s="193"/>
      <c r="W171" s="193"/>
      <c r="X171" s="193"/>
      <c r="Y171" s="193"/>
    </row>
    <row r="172" spans="2:25" ht="46.9" hidden="1" customHeight="1" x14ac:dyDescent="0.25">
      <c r="B172" s="222" t="s">
        <v>39</v>
      </c>
      <c r="C172" s="213" t="s">
        <v>440</v>
      </c>
      <c r="D172" s="214"/>
      <c r="E172" s="214"/>
      <c r="F172" s="216" t="s">
        <v>447</v>
      </c>
      <c r="G172" s="212" t="s">
        <v>448</v>
      </c>
      <c r="H172" s="212" t="s">
        <v>67</v>
      </c>
      <c r="I172" s="191">
        <v>1</v>
      </c>
      <c r="J172" s="191">
        <v>1</v>
      </c>
      <c r="K172" s="191" t="s">
        <v>297</v>
      </c>
      <c r="L172" s="205"/>
      <c r="M172" s="193"/>
      <c r="N172" s="193"/>
      <c r="O172" s="193"/>
      <c r="P172" s="193"/>
      <c r="Q172" s="193"/>
      <c r="R172" s="193"/>
      <c r="S172" s="193"/>
      <c r="T172" s="193"/>
      <c r="U172" s="193"/>
      <c r="V172" s="193"/>
      <c r="W172" s="193"/>
      <c r="X172" s="193"/>
      <c r="Y172" s="193"/>
    </row>
    <row r="173" spans="2:25" ht="46.9" hidden="1" customHeight="1" x14ac:dyDescent="0.25">
      <c r="B173" s="222" t="s">
        <v>39</v>
      </c>
      <c r="C173" s="213" t="s">
        <v>440</v>
      </c>
      <c r="D173" s="214"/>
      <c r="E173" s="214"/>
      <c r="F173" s="216" t="s">
        <v>447</v>
      </c>
      <c r="G173" s="212" t="s">
        <v>449</v>
      </c>
      <c r="H173" s="212" t="s">
        <v>67</v>
      </c>
      <c r="I173" s="191">
        <v>1</v>
      </c>
      <c r="J173" s="191">
        <v>1</v>
      </c>
      <c r="K173" s="191" t="s">
        <v>297</v>
      </c>
      <c r="L173" s="205"/>
      <c r="M173" s="193"/>
      <c r="N173" s="193"/>
      <c r="O173" s="193"/>
      <c r="P173" s="193"/>
      <c r="Q173" s="193"/>
      <c r="R173" s="193"/>
      <c r="S173" s="193"/>
      <c r="T173" s="193"/>
      <c r="U173" s="193"/>
      <c r="V173" s="193"/>
      <c r="W173" s="193"/>
      <c r="X173" s="193"/>
      <c r="Y173" s="193"/>
    </row>
    <row r="174" spans="2:25" ht="46.9" hidden="1" customHeight="1" x14ac:dyDescent="0.25">
      <c r="B174" s="222" t="s">
        <v>39</v>
      </c>
      <c r="C174" s="213" t="s">
        <v>440</v>
      </c>
      <c r="D174" s="214"/>
      <c r="E174" s="214"/>
      <c r="F174" s="216" t="s">
        <v>447</v>
      </c>
      <c r="G174" s="212" t="s">
        <v>450</v>
      </c>
      <c r="H174" s="212" t="s">
        <v>67</v>
      </c>
      <c r="I174" s="191">
        <v>10</v>
      </c>
      <c r="J174" s="191">
        <v>10</v>
      </c>
      <c r="K174" s="191" t="s">
        <v>297</v>
      </c>
      <c r="L174" s="205"/>
      <c r="M174" s="193"/>
      <c r="N174" s="193"/>
      <c r="O174" s="193"/>
      <c r="P174" s="193"/>
      <c r="Q174" s="193"/>
      <c r="R174" s="193"/>
      <c r="S174" s="193"/>
      <c r="T174" s="193"/>
      <c r="U174" s="193"/>
      <c r="V174" s="193"/>
      <c r="W174" s="193"/>
      <c r="X174" s="193"/>
      <c r="Y174" s="193"/>
    </row>
    <row r="175" spans="2:25" ht="46.9" hidden="1" customHeight="1" x14ac:dyDescent="0.25">
      <c r="B175" s="222" t="s">
        <v>39</v>
      </c>
      <c r="C175" s="213" t="s">
        <v>440</v>
      </c>
      <c r="D175" s="214"/>
      <c r="E175" s="214"/>
      <c r="F175" s="216" t="s">
        <v>447</v>
      </c>
      <c r="G175" s="212" t="s">
        <v>451</v>
      </c>
      <c r="H175" s="212" t="s">
        <v>67</v>
      </c>
      <c r="I175" s="191">
        <v>0</v>
      </c>
      <c r="J175" s="191">
        <v>200</v>
      </c>
      <c r="K175" s="191" t="s">
        <v>297</v>
      </c>
      <c r="L175" s="205"/>
      <c r="M175" s="193"/>
      <c r="N175" s="193"/>
      <c r="O175" s="193"/>
      <c r="P175" s="193"/>
      <c r="Q175" s="193"/>
      <c r="R175" s="193"/>
      <c r="S175" s="193"/>
      <c r="T175" s="193"/>
      <c r="U175" s="193"/>
      <c r="V175" s="193"/>
      <c r="W175" s="193"/>
      <c r="X175" s="193"/>
      <c r="Y175" s="193"/>
    </row>
    <row r="176" spans="2:25" ht="60" hidden="1" customHeight="1" x14ac:dyDescent="0.25">
      <c r="B176" s="222" t="s">
        <v>39</v>
      </c>
      <c r="C176" s="213" t="s">
        <v>440</v>
      </c>
      <c r="D176" s="214"/>
      <c r="E176" s="214"/>
      <c r="F176" s="216" t="s">
        <v>447</v>
      </c>
      <c r="G176" s="212" t="s">
        <v>452</v>
      </c>
      <c r="H176" s="212" t="s">
        <v>67</v>
      </c>
      <c r="I176" s="191">
        <v>60</v>
      </c>
      <c r="J176" s="191">
        <v>100</v>
      </c>
      <c r="K176" s="191" t="s">
        <v>297</v>
      </c>
      <c r="L176" s="205"/>
      <c r="M176" s="193"/>
      <c r="N176" s="193"/>
      <c r="O176" s="193"/>
      <c r="P176" s="193"/>
      <c r="Q176" s="193"/>
      <c r="R176" s="193"/>
      <c r="S176" s="193"/>
      <c r="T176" s="193"/>
      <c r="U176" s="193"/>
      <c r="V176" s="193"/>
      <c r="W176" s="193"/>
      <c r="X176" s="193"/>
      <c r="Y176" s="193"/>
    </row>
    <row r="177" spans="2:25" ht="75" hidden="1" customHeight="1" x14ac:dyDescent="0.2">
      <c r="B177" s="222" t="s">
        <v>39</v>
      </c>
      <c r="C177" s="187" t="s">
        <v>453</v>
      </c>
      <c r="D177" s="188"/>
      <c r="E177" s="188"/>
      <c r="F177" s="207" t="s">
        <v>454</v>
      </c>
      <c r="G177" s="212" t="s">
        <v>455</v>
      </c>
      <c r="H177" s="191" t="s">
        <v>67</v>
      </c>
      <c r="I177" s="191">
        <v>1</v>
      </c>
      <c r="J177" s="191">
        <v>1</v>
      </c>
      <c r="K177" s="191" t="s">
        <v>297</v>
      </c>
      <c r="L177" s="205"/>
      <c r="M177" s="193"/>
      <c r="N177" s="193"/>
      <c r="O177" s="193"/>
      <c r="P177" s="193"/>
      <c r="Q177" s="193"/>
      <c r="R177" s="193"/>
      <c r="S177" s="193"/>
      <c r="T177" s="193"/>
      <c r="U177" s="193"/>
      <c r="V177" s="193"/>
      <c r="W177" s="193"/>
      <c r="X177" s="193"/>
      <c r="Y177" s="193"/>
    </row>
    <row r="178" spans="2:25" ht="75" hidden="1" customHeight="1" x14ac:dyDescent="0.2">
      <c r="B178" s="222" t="s">
        <v>39</v>
      </c>
      <c r="C178" s="187" t="s">
        <v>453</v>
      </c>
      <c r="D178" s="188"/>
      <c r="E178" s="188"/>
      <c r="F178" s="207" t="s">
        <v>454</v>
      </c>
      <c r="G178" s="212" t="s">
        <v>456</v>
      </c>
      <c r="H178" s="191" t="s">
        <v>67</v>
      </c>
      <c r="I178" s="191">
        <v>3</v>
      </c>
      <c r="J178" s="191">
        <v>4</v>
      </c>
      <c r="K178" s="191" t="s">
        <v>297</v>
      </c>
      <c r="L178" s="205"/>
      <c r="M178" s="193"/>
      <c r="N178" s="193"/>
      <c r="O178" s="193"/>
      <c r="P178" s="193"/>
      <c r="Q178" s="193"/>
      <c r="R178" s="193"/>
      <c r="S178" s="193"/>
      <c r="T178" s="193"/>
      <c r="U178" s="193"/>
      <c r="V178" s="193"/>
      <c r="W178" s="193"/>
      <c r="X178" s="193"/>
      <c r="Y178" s="193"/>
    </row>
    <row r="179" spans="2:25" ht="45" hidden="1" customHeight="1" x14ac:dyDescent="0.2">
      <c r="B179" s="222" t="s">
        <v>39</v>
      </c>
      <c r="C179" s="187" t="s">
        <v>453</v>
      </c>
      <c r="D179" s="188"/>
      <c r="E179" s="188"/>
      <c r="F179" s="207" t="s">
        <v>454</v>
      </c>
      <c r="G179" s="212" t="s">
        <v>457</v>
      </c>
      <c r="H179" s="191" t="s">
        <v>67</v>
      </c>
      <c r="I179" s="191">
        <v>4</v>
      </c>
      <c r="J179" s="191">
        <v>4</v>
      </c>
      <c r="K179" s="191" t="s">
        <v>297</v>
      </c>
      <c r="L179" s="205"/>
      <c r="M179" s="193"/>
      <c r="N179" s="193"/>
      <c r="O179" s="193"/>
      <c r="P179" s="193"/>
      <c r="Q179" s="193"/>
      <c r="R179" s="193"/>
      <c r="S179" s="193"/>
      <c r="T179" s="193"/>
      <c r="U179" s="193"/>
      <c r="V179" s="193"/>
      <c r="W179" s="193"/>
      <c r="X179" s="193"/>
      <c r="Y179" s="193"/>
    </row>
    <row r="180" spans="2:25" ht="33.75" hidden="1" customHeight="1" x14ac:dyDescent="0.2">
      <c r="B180" s="222" t="s">
        <v>39</v>
      </c>
      <c r="C180" s="187" t="s">
        <v>453</v>
      </c>
      <c r="D180" s="188"/>
      <c r="E180" s="188"/>
      <c r="F180" s="207" t="s">
        <v>454</v>
      </c>
      <c r="G180" s="212" t="s">
        <v>458</v>
      </c>
      <c r="H180" s="191" t="s">
        <v>67</v>
      </c>
      <c r="I180" s="191">
        <v>1</v>
      </c>
      <c r="J180" s="191">
        <v>1</v>
      </c>
      <c r="K180" s="191" t="s">
        <v>297</v>
      </c>
      <c r="L180" s="205"/>
      <c r="M180" s="193"/>
      <c r="N180" s="193"/>
      <c r="O180" s="193"/>
      <c r="P180" s="193"/>
      <c r="Q180" s="193"/>
      <c r="R180" s="193"/>
      <c r="S180" s="193"/>
      <c r="T180" s="193"/>
      <c r="U180" s="193"/>
      <c r="V180" s="193"/>
      <c r="W180" s="193"/>
      <c r="X180" s="193"/>
      <c r="Y180" s="193"/>
    </row>
    <row r="181" spans="2:25" ht="57.75" hidden="1" customHeight="1" x14ac:dyDescent="0.2">
      <c r="B181" s="222" t="s">
        <v>39</v>
      </c>
      <c r="C181" s="187" t="s">
        <v>453</v>
      </c>
      <c r="D181" s="188"/>
      <c r="E181" s="188"/>
      <c r="F181" s="207" t="s">
        <v>454</v>
      </c>
      <c r="G181" s="212" t="s">
        <v>459</v>
      </c>
      <c r="H181" s="191" t="s">
        <v>67</v>
      </c>
      <c r="I181" s="191">
        <v>53</v>
      </c>
      <c r="J181" s="191">
        <v>53</v>
      </c>
      <c r="K181" s="191" t="s">
        <v>297</v>
      </c>
      <c r="L181" s="205"/>
      <c r="M181" s="193"/>
      <c r="N181" s="193"/>
      <c r="O181" s="193"/>
      <c r="P181" s="193"/>
      <c r="Q181" s="193"/>
      <c r="R181" s="193"/>
      <c r="S181" s="193"/>
      <c r="T181" s="193"/>
      <c r="U181" s="193"/>
      <c r="V181" s="193"/>
      <c r="W181" s="193"/>
      <c r="X181" s="193"/>
      <c r="Y181" s="193"/>
    </row>
    <row r="182" spans="2:25" ht="75" hidden="1" customHeight="1" x14ac:dyDescent="0.2">
      <c r="B182" s="222" t="s">
        <v>39</v>
      </c>
      <c r="C182" s="187" t="s">
        <v>453</v>
      </c>
      <c r="D182" s="188"/>
      <c r="E182" s="188"/>
      <c r="F182" s="207" t="s">
        <v>454</v>
      </c>
      <c r="G182" s="212" t="s">
        <v>460</v>
      </c>
      <c r="H182" s="191" t="s">
        <v>67</v>
      </c>
      <c r="I182" s="191">
        <v>9</v>
      </c>
      <c r="J182" s="191">
        <v>2</v>
      </c>
      <c r="K182" s="191" t="s">
        <v>363</v>
      </c>
      <c r="L182" s="205"/>
      <c r="M182" s="193"/>
      <c r="N182" s="193"/>
      <c r="O182" s="193"/>
      <c r="P182" s="193"/>
      <c r="Q182" s="193"/>
      <c r="R182" s="193"/>
      <c r="S182" s="193"/>
      <c r="T182" s="193"/>
      <c r="U182" s="193"/>
      <c r="V182" s="193"/>
      <c r="W182" s="193"/>
      <c r="X182" s="193"/>
      <c r="Y182" s="193"/>
    </row>
    <row r="183" spans="2:25" ht="82.5" hidden="1" customHeight="1" x14ac:dyDescent="0.2">
      <c r="B183" s="222" t="s">
        <v>39</v>
      </c>
      <c r="C183" s="187" t="s">
        <v>453</v>
      </c>
      <c r="D183" s="188"/>
      <c r="E183" s="188"/>
      <c r="F183" s="207" t="s">
        <v>454</v>
      </c>
      <c r="G183" s="212" t="s">
        <v>461</v>
      </c>
      <c r="H183" s="191" t="s">
        <v>67</v>
      </c>
      <c r="I183" s="191">
        <v>0</v>
      </c>
      <c r="J183" s="191">
        <v>4</v>
      </c>
      <c r="K183" s="191" t="s">
        <v>363</v>
      </c>
      <c r="L183" s="205"/>
      <c r="M183" s="193"/>
      <c r="N183" s="193"/>
      <c r="O183" s="193"/>
      <c r="P183" s="193"/>
      <c r="Q183" s="193"/>
      <c r="R183" s="193"/>
      <c r="S183" s="193"/>
      <c r="T183" s="193"/>
      <c r="U183" s="193"/>
      <c r="V183" s="193"/>
      <c r="W183" s="193"/>
      <c r="X183" s="193"/>
      <c r="Y183" s="193"/>
    </row>
    <row r="184" spans="2:25" ht="45" hidden="1" customHeight="1" x14ac:dyDescent="0.2">
      <c r="B184" s="222" t="s">
        <v>39</v>
      </c>
      <c r="C184" s="187" t="s">
        <v>453</v>
      </c>
      <c r="D184" s="188"/>
      <c r="E184" s="188"/>
      <c r="F184" s="207" t="s">
        <v>454</v>
      </c>
      <c r="G184" s="212" t="s">
        <v>462</v>
      </c>
      <c r="H184" s="191" t="s">
        <v>67</v>
      </c>
      <c r="I184" s="191">
        <v>1274</v>
      </c>
      <c r="J184" s="191">
        <v>1050</v>
      </c>
      <c r="K184" s="191" t="s">
        <v>363</v>
      </c>
      <c r="L184" s="205"/>
      <c r="M184" s="193"/>
      <c r="N184" s="193"/>
      <c r="O184" s="193"/>
      <c r="P184" s="193"/>
      <c r="Q184" s="193"/>
      <c r="R184" s="193"/>
      <c r="S184" s="193"/>
      <c r="T184" s="193"/>
      <c r="U184" s="193"/>
      <c r="V184" s="193"/>
      <c r="W184" s="193"/>
      <c r="X184" s="193"/>
      <c r="Y184" s="193"/>
    </row>
    <row r="185" spans="2:25" ht="105" hidden="1" customHeight="1" x14ac:dyDescent="0.2">
      <c r="B185" s="222" t="s">
        <v>39</v>
      </c>
      <c r="C185" s="187" t="s">
        <v>453</v>
      </c>
      <c r="D185" s="188"/>
      <c r="E185" s="188"/>
      <c r="F185" s="207" t="s">
        <v>454</v>
      </c>
      <c r="G185" s="212" t="s">
        <v>463</v>
      </c>
      <c r="H185" s="191" t="s">
        <v>67</v>
      </c>
      <c r="I185" s="191">
        <v>7</v>
      </c>
      <c r="J185" s="191">
        <v>9</v>
      </c>
      <c r="K185" s="191" t="s">
        <v>297</v>
      </c>
      <c r="L185" s="205"/>
      <c r="M185" s="193"/>
      <c r="N185" s="193"/>
      <c r="O185" s="193"/>
      <c r="P185" s="193"/>
      <c r="Q185" s="193"/>
      <c r="R185" s="193"/>
      <c r="S185" s="193"/>
      <c r="T185" s="193"/>
      <c r="U185" s="193"/>
      <c r="V185" s="193"/>
      <c r="W185" s="193"/>
      <c r="X185" s="193"/>
      <c r="Y185" s="193"/>
    </row>
    <row r="186" spans="2:25" ht="82.5" hidden="1" customHeight="1" x14ac:dyDescent="0.2">
      <c r="B186" s="222" t="s">
        <v>39</v>
      </c>
      <c r="C186" s="187" t="s">
        <v>453</v>
      </c>
      <c r="D186" s="188"/>
      <c r="E186" s="188"/>
      <c r="F186" s="207" t="s">
        <v>454</v>
      </c>
      <c r="G186" s="212" t="s">
        <v>464</v>
      </c>
      <c r="H186" s="191" t="s">
        <v>67</v>
      </c>
      <c r="I186" s="191">
        <v>0</v>
      </c>
      <c r="J186" s="191">
        <v>1</v>
      </c>
      <c r="K186" s="191" t="s">
        <v>297</v>
      </c>
      <c r="L186" s="205"/>
      <c r="M186" s="193"/>
      <c r="N186" s="193"/>
      <c r="O186" s="193"/>
      <c r="P186" s="193"/>
      <c r="Q186" s="193"/>
      <c r="R186" s="193"/>
      <c r="S186" s="193"/>
      <c r="T186" s="193"/>
      <c r="U186" s="193"/>
      <c r="V186" s="193"/>
      <c r="W186" s="193"/>
      <c r="X186" s="193"/>
      <c r="Y186" s="193"/>
    </row>
    <row r="187" spans="2:25" ht="45" hidden="1" customHeight="1" x14ac:dyDescent="0.2">
      <c r="B187" s="222" t="s">
        <v>39</v>
      </c>
      <c r="C187" s="187" t="s">
        <v>453</v>
      </c>
      <c r="D187" s="188"/>
      <c r="E187" s="188"/>
      <c r="F187" s="207" t="s">
        <v>454</v>
      </c>
      <c r="G187" s="212" t="s">
        <v>465</v>
      </c>
      <c r="H187" s="191" t="s">
        <v>67</v>
      </c>
      <c r="I187" s="191">
        <v>0</v>
      </c>
      <c r="J187" s="191">
        <v>1</v>
      </c>
      <c r="K187" s="191" t="s">
        <v>297</v>
      </c>
      <c r="L187" s="205"/>
      <c r="M187" s="193"/>
      <c r="N187" s="193"/>
      <c r="O187" s="193"/>
      <c r="P187" s="193"/>
      <c r="Q187" s="193"/>
      <c r="R187" s="193"/>
      <c r="S187" s="193"/>
      <c r="T187" s="193"/>
      <c r="U187" s="193"/>
      <c r="V187" s="193"/>
      <c r="W187" s="193"/>
      <c r="X187" s="193"/>
      <c r="Y187" s="193"/>
    </row>
    <row r="188" spans="2:25" ht="52.5" hidden="1" customHeight="1" x14ac:dyDescent="0.2">
      <c r="B188" s="222" t="s">
        <v>39</v>
      </c>
      <c r="C188" s="187" t="s">
        <v>466</v>
      </c>
      <c r="D188" s="188"/>
      <c r="E188" s="188"/>
      <c r="F188" s="207" t="s">
        <v>467</v>
      </c>
      <c r="G188" s="212" t="s">
        <v>468</v>
      </c>
      <c r="H188" s="212" t="s">
        <v>67</v>
      </c>
      <c r="I188" s="212">
        <v>13</v>
      </c>
      <c r="J188" s="212">
        <v>13</v>
      </c>
      <c r="K188" s="191" t="s">
        <v>361</v>
      </c>
      <c r="L188" s="205"/>
      <c r="M188" s="193"/>
      <c r="N188" s="193"/>
      <c r="O188" s="193"/>
      <c r="P188" s="193"/>
      <c r="Q188" s="193"/>
      <c r="R188" s="193"/>
      <c r="S188" s="193"/>
      <c r="T188" s="193"/>
      <c r="U188" s="193"/>
      <c r="V188" s="193"/>
      <c r="W188" s="193"/>
      <c r="X188" s="193"/>
      <c r="Y188" s="193"/>
    </row>
    <row r="189" spans="2:25" ht="61.5" hidden="1" customHeight="1" x14ac:dyDescent="0.2">
      <c r="B189" s="222" t="s">
        <v>39</v>
      </c>
      <c r="C189" s="187" t="s">
        <v>466</v>
      </c>
      <c r="D189" s="188"/>
      <c r="E189" s="188"/>
      <c r="F189" s="207" t="s">
        <v>467</v>
      </c>
      <c r="G189" s="212" t="s">
        <v>469</v>
      </c>
      <c r="H189" s="212" t="s">
        <v>67</v>
      </c>
      <c r="I189" s="212">
        <v>0</v>
      </c>
      <c r="J189" s="212">
        <v>30</v>
      </c>
      <c r="K189" s="191" t="s">
        <v>361</v>
      </c>
      <c r="L189" s="205"/>
      <c r="M189" s="193"/>
      <c r="N189" s="193"/>
      <c r="O189" s="193"/>
      <c r="P189" s="193"/>
      <c r="Q189" s="193"/>
      <c r="R189" s="193"/>
      <c r="S189" s="193"/>
      <c r="T189" s="193"/>
      <c r="U189" s="193"/>
      <c r="V189" s="193"/>
      <c r="W189" s="193"/>
      <c r="X189" s="193"/>
      <c r="Y189" s="193"/>
    </row>
    <row r="190" spans="2:25" ht="42.75" hidden="1" customHeight="1" x14ac:dyDescent="0.2">
      <c r="B190" s="222" t="s">
        <v>39</v>
      </c>
      <c r="C190" s="187" t="s">
        <v>466</v>
      </c>
      <c r="D190" s="188"/>
      <c r="E190" s="188"/>
      <c r="F190" s="207" t="s">
        <v>467</v>
      </c>
      <c r="G190" s="212" t="s">
        <v>470</v>
      </c>
      <c r="H190" s="212" t="s">
        <v>67</v>
      </c>
      <c r="I190" s="212">
        <v>0</v>
      </c>
      <c r="J190" s="212">
        <v>48</v>
      </c>
      <c r="K190" s="191" t="s">
        <v>361</v>
      </c>
      <c r="L190" s="205"/>
      <c r="M190" s="193"/>
      <c r="N190" s="193"/>
      <c r="O190" s="193"/>
      <c r="P190" s="193"/>
      <c r="Q190" s="193"/>
      <c r="R190" s="193"/>
      <c r="S190" s="193"/>
      <c r="T190" s="193"/>
      <c r="U190" s="193"/>
      <c r="V190" s="193"/>
      <c r="W190" s="193"/>
      <c r="X190" s="193"/>
      <c r="Y190" s="193"/>
    </row>
    <row r="191" spans="2:25" ht="75" hidden="1" customHeight="1" x14ac:dyDescent="0.2">
      <c r="B191" s="222" t="s">
        <v>39</v>
      </c>
      <c r="C191" s="187" t="s">
        <v>466</v>
      </c>
      <c r="D191" s="188"/>
      <c r="E191" s="188"/>
      <c r="F191" s="205" t="s">
        <v>471</v>
      </c>
      <c r="G191" s="212" t="s">
        <v>472</v>
      </c>
      <c r="H191" s="191" t="s">
        <v>67</v>
      </c>
      <c r="I191" s="191">
        <v>13</v>
      </c>
      <c r="J191" s="191">
        <v>13</v>
      </c>
      <c r="K191" s="191" t="s">
        <v>264</v>
      </c>
      <c r="L191" s="205"/>
      <c r="M191" s="193"/>
      <c r="N191" s="193"/>
      <c r="O191" s="193"/>
      <c r="P191" s="193"/>
      <c r="Q191" s="193"/>
      <c r="R191" s="193"/>
      <c r="S191" s="193"/>
      <c r="T191" s="193"/>
      <c r="U191" s="193"/>
      <c r="V191" s="193"/>
      <c r="W191" s="193"/>
      <c r="X191" s="193"/>
      <c r="Y191" s="193"/>
    </row>
    <row r="192" spans="2:25" ht="60" hidden="1" customHeight="1" x14ac:dyDescent="0.2">
      <c r="B192" s="222" t="s">
        <v>39</v>
      </c>
      <c r="C192" s="187" t="s">
        <v>466</v>
      </c>
      <c r="D192" s="188"/>
      <c r="E192" s="188"/>
      <c r="F192" s="205" t="s">
        <v>471</v>
      </c>
      <c r="G192" s="212" t="s">
        <v>473</v>
      </c>
      <c r="H192" s="191" t="s">
        <v>67</v>
      </c>
      <c r="I192" s="191">
        <v>0</v>
      </c>
      <c r="J192" s="191">
        <v>1</v>
      </c>
      <c r="K192" s="191" t="s">
        <v>264</v>
      </c>
      <c r="L192" s="205"/>
      <c r="M192" s="193"/>
      <c r="N192" s="193"/>
      <c r="O192" s="193"/>
      <c r="P192" s="193"/>
      <c r="Q192" s="193"/>
      <c r="R192" s="193"/>
      <c r="S192" s="193"/>
      <c r="T192" s="193"/>
      <c r="U192" s="193"/>
      <c r="V192" s="193"/>
      <c r="W192" s="193"/>
      <c r="X192" s="193"/>
      <c r="Y192" s="193"/>
    </row>
    <row r="193" spans="2:25" ht="60" hidden="1" customHeight="1" x14ac:dyDescent="0.2">
      <c r="B193" s="222" t="s">
        <v>39</v>
      </c>
      <c r="C193" s="187" t="s">
        <v>466</v>
      </c>
      <c r="D193" s="188"/>
      <c r="E193" s="188"/>
      <c r="F193" s="207" t="s">
        <v>474</v>
      </c>
      <c r="G193" s="212" t="s">
        <v>475</v>
      </c>
      <c r="H193" s="212" t="s">
        <v>67</v>
      </c>
      <c r="I193" s="191">
        <v>12</v>
      </c>
      <c r="J193" s="191">
        <v>48</v>
      </c>
      <c r="K193" s="191" t="s">
        <v>232</v>
      </c>
      <c r="L193" s="205"/>
      <c r="M193" s="193"/>
      <c r="N193" s="193"/>
      <c r="O193" s="193"/>
      <c r="P193" s="193"/>
      <c r="Q193" s="193"/>
      <c r="R193" s="193"/>
      <c r="S193" s="193"/>
      <c r="T193" s="193"/>
      <c r="U193" s="193"/>
      <c r="V193" s="193"/>
      <c r="W193" s="193"/>
      <c r="X193" s="193"/>
      <c r="Y193" s="193"/>
    </row>
    <row r="194" spans="2:25" ht="84.75" customHeight="1" x14ac:dyDescent="0.2">
      <c r="B194" s="477" t="s">
        <v>39</v>
      </c>
      <c r="C194" s="479" t="s">
        <v>40</v>
      </c>
      <c r="D194" s="481" t="s">
        <v>476</v>
      </c>
      <c r="E194" s="483">
        <v>0.02</v>
      </c>
      <c r="F194" s="485"/>
      <c r="G194" s="487" t="s">
        <v>41</v>
      </c>
      <c r="H194" s="212" t="s">
        <v>67</v>
      </c>
      <c r="I194" s="191">
        <v>3</v>
      </c>
      <c r="J194" s="191">
        <v>4</v>
      </c>
      <c r="K194" s="191" t="s">
        <v>178</v>
      </c>
      <c r="L194" s="205"/>
      <c r="M194" s="470">
        <v>3</v>
      </c>
      <c r="N194" s="470">
        <v>4</v>
      </c>
      <c r="O194" s="470">
        <v>4</v>
      </c>
      <c r="P194" s="470">
        <v>4</v>
      </c>
      <c r="Q194" s="199" t="s">
        <v>477</v>
      </c>
      <c r="R194" s="228">
        <v>48800000</v>
      </c>
      <c r="S194" s="199" t="s">
        <v>477</v>
      </c>
      <c r="T194" s="229">
        <f>48800000+20000000</f>
        <v>68800000</v>
      </c>
      <c r="U194" s="199" t="s">
        <v>477</v>
      </c>
      <c r="V194" s="228">
        <f>68800000+4000000</f>
        <v>72800000</v>
      </c>
      <c r="W194" s="199" t="s">
        <v>477</v>
      </c>
      <c r="X194" s="228">
        <v>72800000</v>
      </c>
      <c r="Y194" s="230">
        <f>+X194+V194+T194+R194</f>
        <v>263200000</v>
      </c>
    </row>
    <row r="195" spans="2:25" ht="84.75" customHeight="1" x14ac:dyDescent="0.2">
      <c r="B195" s="478"/>
      <c r="C195" s="480"/>
      <c r="D195" s="482"/>
      <c r="E195" s="484"/>
      <c r="F195" s="486"/>
      <c r="G195" s="488"/>
      <c r="H195" s="212"/>
      <c r="I195" s="191"/>
      <c r="J195" s="191"/>
      <c r="K195" s="191"/>
      <c r="L195" s="205"/>
      <c r="M195" s="489"/>
      <c r="N195" s="489"/>
      <c r="O195" s="489"/>
      <c r="P195" s="489"/>
      <c r="Q195" s="199" t="s">
        <v>478</v>
      </c>
      <c r="R195" s="228">
        <v>120000000</v>
      </c>
      <c r="S195" s="199" t="s">
        <v>478</v>
      </c>
      <c r="T195" s="229">
        <v>111200000</v>
      </c>
      <c r="U195" s="199" t="s">
        <v>478</v>
      </c>
      <c r="V195" s="228">
        <f>111200000-15000000</f>
        <v>96200000</v>
      </c>
      <c r="W195" s="199" t="s">
        <v>478</v>
      </c>
      <c r="X195" s="228">
        <v>96200000</v>
      </c>
      <c r="Y195" s="230">
        <f t="shared" ref="Y195:Y221" si="0">+X195+V195+T195+R195</f>
        <v>423600000</v>
      </c>
    </row>
    <row r="196" spans="2:25" ht="78" customHeight="1" x14ac:dyDescent="0.2">
      <c r="B196" s="222" t="s">
        <v>39</v>
      </c>
      <c r="C196" s="187" t="s">
        <v>40</v>
      </c>
      <c r="D196" s="188" t="s">
        <v>476</v>
      </c>
      <c r="E196" s="231">
        <v>0.02</v>
      </c>
      <c r="F196" s="205"/>
      <c r="G196" s="232" t="s">
        <v>42</v>
      </c>
      <c r="H196" s="212" t="s">
        <v>67</v>
      </c>
      <c r="I196" s="191">
        <v>0</v>
      </c>
      <c r="J196" s="191">
        <v>1</v>
      </c>
      <c r="K196" s="191" t="s">
        <v>178</v>
      </c>
      <c r="L196" s="205"/>
      <c r="M196" s="199">
        <v>1</v>
      </c>
      <c r="N196" s="199">
        <v>0</v>
      </c>
      <c r="O196" s="199">
        <v>0</v>
      </c>
      <c r="P196" s="199">
        <v>0</v>
      </c>
      <c r="Q196" s="199" t="s">
        <v>478</v>
      </c>
      <c r="R196" s="228">
        <v>797139936</v>
      </c>
      <c r="S196" s="199"/>
      <c r="T196" s="229">
        <v>0</v>
      </c>
      <c r="U196" s="199"/>
      <c r="V196" s="228">
        <v>0</v>
      </c>
      <c r="W196" s="199"/>
      <c r="X196" s="228">
        <v>0</v>
      </c>
      <c r="Y196" s="230">
        <f t="shared" si="0"/>
        <v>797139936</v>
      </c>
    </row>
    <row r="197" spans="2:25" ht="126" x14ac:dyDescent="0.25">
      <c r="B197" s="222" t="s">
        <v>39</v>
      </c>
      <c r="C197" s="213" t="s">
        <v>43</v>
      </c>
      <c r="D197" s="233" t="s">
        <v>479</v>
      </c>
      <c r="E197" s="231">
        <v>0.21</v>
      </c>
      <c r="F197" s="205"/>
      <c r="G197" s="212" t="s">
        <v>44</v>
      </c>
      <c r="H197" s="191" t="s">
        <v>67</v>
      </c>
      <c r="I197" s="191">
        <v>4</v>
      </c>
      <c r="J197" s="191">
        <v>4</v>
      </c>
      <c r="K197" s="191" t="s">
        <v>178</v>
      </c>
      <c r="L197" s="205"/>
      <c r="M197" s="199">
        <v>4</v>
      </c>
      <c r="N197" s="199">
        <v>4</v>
      </c>
      <c r="O197" s="199">
        <v>4</v>
      </c>
      <c r="P197" s="199">
        <v>4</v>
      </c>
      <c r="Q197" s="199" t="s">
        <v>477</v>
      </c>
      <c r="R197" s="228">
        <v>65000000</v>
      </c>
      <c r="S197" s="199" t="s">
        <v>477</v>
      </c>
      <c r="T197" s="229">
        <f>65000000+12905000</f>
        <v>77905000</v>
      </c>
      <c r="U197" s="199" t="s">
        <v>477</v>
      </c>
      <c r="V197" s="228">
        <v>77905000</v>
      </c>
      <c r="W197" s="199" t="s">
        <v>477</v>
      </c>
      <c r="X197" s="228">
        <v>77905000</v>
      </c>
      <c r="Y197" s="230">
        <f t="shared" si="0"/>
        <v>298715000</v>
      </c>
    </row>
    <row r="198" spans="2:25" ht="90.75" customHeight="1" x14ac:dyDescent="0.25">
      <c r="B198" s="222" t="s">
        <v>39</v>
      </c>
      <c r="C198" s="213" t="s">
        <v>43</v>
      </c>
      <c r="D198" s="233" t="s">
        <v>479</v>
      </c>
      <c r="E198" s="231">
        <v>0.21</v>
      </c>
      <c r="F198" s="205"/>
      <c r="G198" s="212" t="s">
        <v>45</v>
      </c>
      <c r="H198" s="191" t="s">
        <v>67</v>
      </c>
      <c r="I198" s="191">
        <v>10</v>
      </c>
      <c r="J198" s="191">
        <v>13</v>
      </c>
      <c r="K198" s="191" t="s">
        <v>178</v>
      </c>
      <c r="L198" s="205"/>
      <c r="M198" s="199">
        <v>13</v>
      </c>
      <c r="N198" s="199">
        <v>13</v>
      </c>
      <c r="O198" s="199">
        <v>13</v>
      </c>
      <c r="P198" s="199">
        <v>13</v>
      </c>
      <c r="Q198" s="199" t="s">
        <v>478</v>
      </c>
      <c r="R198" s="228">
        <f>40000000+62000000</f>
        <v>102000000</v>
      </c>
      <c r="S198" s="199" t="s">
        <v>478</v>
      </c>
      <c r="T198" s="229">
        <v>40000000</v>
      </c>
      <c r="U198" s="199" t="s">
        <v>478</v>
      </c>
      <c r="V198" s="228">
        <v>40000000</v>
      </c>
      <c r="W198" s="199" t="s">
        <v>478</v>
      </c>
      <c r="X198" s="228">
        <v>40000000</v>
      </c>
      <c r="Y198" s="230">
        <f t="shared" si="0"/>
        <v>222000000</v>
      </c>
    </row>
    <row r="199" spans="2:25" ht="99.75" customHeight="1" x14ac:dyDescent="0.25">
      <c r="B199" s="222" t="s">
        <v>39</v>
      </c>
      <c r="C199" s="213" t="s">
        <v>43</v>
      </c>
      <c r="D199" s="214" t="s">
        <v>479</v>
      </c>
      <c r="E199" s="231">
        <v>0.21</v>
      </c>
      <c r="F199" s="205"/>
      <c r="G199" s="212" t="s">
        <v>46</v>
      </c>
      <c r="H199" s="191" t="s">
        <v>67</v>
      </c>
      <c r="I199" s="191">
        <v>5</v>
      </c>
      <c r="J199" s="191">
        <v>5</v>
      </c>
      <c r="K199" s="191" t="s">
        <v>178</v>
      </c>
      <c r="L199" s="205"/>
      <c r="M199" s="199">
        <v>5</v>
      </c>
      <c r="N199" s="199">
        <v>5</v>
      </c>
      <c r="O199" s="199">
        <v>5</v>
      </c>
      <c r="P199" s="199">
        <v>5</v>
      </c>
      <c r="Q199" s="199" t="s">
        <v>478</v>
      </c>
      <c r="R199" s="228">
        <f>40000000+62170000</f>
        <v>102170000</v>
      </c>
      <c r="S199" s="199" t="s">
        <v>478</v>
      </c>
      <c r="T199" s="229">
        <v>20000000</v>
      </c>
      <c r="U199" s="199" t="s">
        <v>478</v>
      </c>
      <c r="V199" s="228">
        <f>20000000-4269422</f>
        <v>15730578</v>
      </c>
      <c r="W199" s="199" t="s">
        <v>478</v>
      </c>
      <c r="X199" s="228">
        <v>15730578</v>
      </c>
      <c r="Y199" s="230">
        <f t="shared" si="0"/>
        <v>153631156</v>
      </c>
    </row>
    <row r="200" spans="2:25" ht="84.75" customHeight="1" x14ac:dyDescent="0.25">
      <c r="B200" s="222" t="s">
        <v>39</v>
      </c>
      <c r="C200" s="213" t="s">
        <v>47</v>
      </c>
      <c r="D200" s="214" t="s">
        <v>480</v>
      </c>
      <c r="E200" s="231" t="s">
        <v>481</v>
      </c>
      <c r="F200" s="205"/>
      <c r="G200" s="209" t="s">
        <v>48</v>
      </c>
      <c r="H200" s="208" t="s">
        <v>67</v>
      </c>
      <c r="I200" s="208">
        <v>1</v>
      </c>
      <c r="J200" s="208">
        <v>1</v>
      </c>
      <c r="K200" s="208" t="s">
        <v>178</v>
      </c>
      <c r="L200" s="205"/>
      <c r="M200" s="199">
        <v>1</v>
      </c>
      <c r="N200" s="199">
        <v>1</v>
      </c>
      <c r="O200" s="199">
        <v>1</v>
      </c>
      <c r="P200" s="199">
        <v>1</v>
      </c>
      <c r="Q200" s="199" t="s">
        <v>478</v>
      </c>
      <c r="R200" s="228">
        <v>350000000</v>
      </c>
      <c r="S200" s="199" t="s">
        <v>478</v>
      </c>
      <c r="T200" s="229">
        <v>350000000</v>
      </c>
      <c r="U200" s="199" t="s">
        <v>478</v>
      </c>
      <c r="V200" s="228">
        <v>350000000</v>
      </c>
      <c r="W200" s="199" t="s">
        <v>478</v>
      </c>
      <c r="X200" s="228">
        <f>350000000+3196864</f>
        <v>353196864</v>
      </c>
      <c r="Y200" s="230">
        <f t="shared" si="0"/>
        <v>1403196864</v>
      </c>
    </row>
    <row r="201" spans="2:25" ht="76.5" customHeight="1" x14ac:dyDescent="0.25">
      <c r="B201" s="222" t="s">
        <v>39</v>
      </c>
      <c r="C201" s="213" t="s">
        <v>47</v>
      </c>
      <c r="D201" s="214" t="s">
        <v>480</v>
      </c>
      <c r="E201" s="231" t="s">
        <v>481</v>
      </c>
      <c r="F201" s="205"/>
      <c r="G201" s="209" t="s">
        <v>49</v>
      </c>
      <c r="H201" s="208" t="s">
        <v>67</v>
      </c>
      <c r="I201" s="208">
        <v>18</v>
      </c>
      <c r="J201" s="208">
        <v>18</v>
      </c>
      <c r="K201" s="208" t="s">
        <v>178</v>
      </c>
      <c r="L201" s="205"/>
      <c r="M201" s="199">
        <v>18</v>
      </c>
      <c r="N201" s="199">
        <v>18</v>
      </c>
      <c r="O201" s="199">
        <v>18</v>
      </c>
      <c r="P201" s="199">
        <v>18</v>
      </c>
      <c r="Q201" s="199" t="s">
        <v>478</v>
      </c>
      <c r="R201" s="228">
        <v>550000000</v>
      </c>
      <c r="S201" s="199" t="s">
        <v>478</v>
      </c>
      <c r="T201" s="229">
        <v>550000000</v>
      </c>
      <c r="U201" s="199" t="s">
        <v>478</v>
      </c>
      <c r="V201" s="228">
        <v>550000000</v>
      </c>
      <c r="W201" s="199" t="s">
        <v>478</v>
      </c>
      <c r="X201" s="228">
        <f>550000000+10000000</f>
        <v>560000000</v>
      </c>
      <c r="Y201" s="230">
        <f t="shared" si="0"/>
        <v>2210000000</v>
      </c>
    </row>
    <row r="202" spans="2:25" ht="78" customHeight="1" x14ac:dyDescent="0.25">
      <c r="B202" s="222" t="s">
        <v>39</v>
      </c>
      <c r="C202" s="213" t="s">
        <v>47</v>
      </c>
      <c r="D202" s="214" t="s">
        <v>480</v>
      </c>
      <c r="E202" s="231" t="s">
        <v>481</v>
      </c>
      <c r="F202" s="205"/>
      <c r="G202" s="232" t="s">
        <v>50</v>
      </c>
      <c r="H202" s="208" t="s">
        <v>67</v>
      </c>
      <c r="I202" s="208">
        <v>3</v>
      </c>
      <c r="J202" s="208">
        <v>3</v>
      </c>
      <c r="K202" s="208" t="s">
        <v>178</v>
      </c>
      <c r="L202" s="205"/>
      <c r="M202" s="199">
        <v>3</v>
      </c>
      <c r="N202" s="199">
        <v>3</v>
      </c>
      <c r="O202" s="199">
        <v>3</v>
      </c>
      <c r="P202" s="199">
        <v>3</v>
      </c>
      <c r="Q202" s="199" t="s">
        <v>478</v>
      </c>
      <c r="R202" s="228">
        <v>100000000</v>
      </c>
      <c r="S202" s="199" t="s">
        <v>478</v>
      </c>
      <c r="T202" s="229">
        <v>100000000</v>
      </c>
      <c r="U202" s="199" t="s">
        <v>478</v>
      </c>
      <c r="V202" s="228">
        <v>100000000</v>
      </c>
      <c r="W202" s="199" t="s">
        <v>478</v>
      </c>
      <c r="X202" s="228">
        <v>100000000</v>
      </c>
      <c r="Y202" s="230">
        <f t="shared" si="0"/>
        <v>400000000</v>
      </c>
    </row>
    <row r="203" spans="2:25" ht="78.75" x14ac:dyDescent="0.2">
      <c r="B203" s="222" t="s">
        <v>39</v>
      </c>
      <c r="C203" s="187" t="s">
        <v>51</v>
      </c>
      <c r="D203" s="233" t="s">
        <v>482</v>
      </c>
      <c r="E203" s="186" t="s">
        <v>483</v>
      </c>
      <c r="F203" s="205"/>
      <c r="G203" s="212" t="s">
        <v>52</v>
      </c>
      <c r="H203" s="191" t="s">
        <v>67</v>
      </c>
      <c r="I203" s="191">
        <v>4</v>
      </c>
      <c r="J203" s="191">
        <v>3</v>
      </c>
      <c r="K203" s="191" t="s">
        <v>178</v>
      </c>
      <c r="L203" s="205"/>
      <c r="M203" s="199">
        <v>0</v>
      </c>
      <c r="N203" s="199">
        <v>1</v>
      </c>
      <c r="O203" s="199">
        <v>1</v>
      </c>
      <c r="P203" s="199">
        <v>1</v>
      </c>
      <c r="Q203" s="199"/>
      <c r="R203" s="228">
        <v>0</v>
      </c>
      <c r="S203" s="199" t="s">
        <v>484</v>
      </c>
      <c r="T203" s="229">
        <v>150000000</v>
      </c>
      <c r="U203" s="199" t="s">
        <v>484</v>
      </c>
      <c r="V203" s="228">
        <v>165000000</v>
      </c>
      <c r="W203" s="199" t="s">
        <v>484</v>
      </c>
      <c r="X203" s="228">
        <v>170000000</v>
      </c>
      <c r="Y203" s="230">
        <f t="shared" si="0"/>
        <v>485000000</v>
      </c>
    </row>
    <row r="204" spans="2:25" ht="78.75" x14ac:dyDescent="0.2">
      <c r="B204" s="222" t="s">
        <v>39</v>
      </c>
      <c r="C204" s="187" t="s">
        <v>51</v>
      </c>
      <c r="D204" s="233" t="s">
        <v>482</v>
      </c>
      <c r="E204" s="186" t="s">
        <v>483</v>
      </c>
      <c r="F204" s="205"/>
      <c r="G204" s="212" t="s">
        <v>53</v>
      </c>
      <c r="H204" s="191" t="s">
        <v>67</v>
      </c>
      <c r="I204" s="191">
        <v>4</v>
      </c>
      <c r="J204" s="191">
        <v>3</v>
      </c>
      <c r="K204" s="191" t="s">
        <v>178</v>
      </c>
      <c r="L204" s="205"/>
      <c r="M204" s="199">
        <v>1</v>
      </c>
      <c r="N204" s="199">
        <v>1</v>
      </c>
      <c r="O204" s="199">
        <v>1</v>
      </c>
      <c r="P204" s="199">
        <v>1</v>
      </c>
      <c r="Q204" s="199" t="s">
        <v>485</v>
      </c>
      <c r="R204" s="228">
        <f>196895000+246797.26</f>
        <v>197141797.25999999</v>
      </c>
      <c r="S204" s="199" t="s">
        <v>485</v>
      </c>
      <c r="T204" s="229">
        <f>196895000+9634485+78376000</f>
        <v>284905485</v>
      </c>
      <c r="U204" s="199" t="s">
        <v>485</v>
      </c>
      <c r="V204" s="228">
        <f>206529485+9971692+78376000</f>
        <v>294877177</v>
      </c>
      <c r="W204" s="199" t="s">
        <v>485</v>
      </c>
      <c r="X204" s="228">
        <f>216501177+10320701+78376000</f>
        <v>305197878</v>
      </c>
      <c r="Y204" s="230">
        <f t="shared" si="0"/>
        <v>1082122337.26</v>
      </c>
    </row>
    <row r="205" spans="2:25" ht="75.75" customHeight="1" x14ac:dyDescent="0.2">
      <c r="B205" s="222" t="s">
        <v>39</v>
      </c>
      <c r="C205" s="187" t="s">
        <v>51</v>
      </c>
      <c r="D205" s="233" t="s">
        <v>482</v>
      </c>
      <c r="E205" s="186" t="s">
        <v>483</v>
      </c>
      <c r="F205" s="205"/>
      <c r="G205" s="212" t="s">
        <v>54</v>
      </c>
      <c r="H205" s="191" t="s">
        <v>67</v>
      </c>
      <c r="I205" s="191">
        <v>2</v>
      </c>
      <c r="J205" s="191">
        <v>4</v>
      </c>
      <c r="K205" s="191" t="s">
        <v>178</v>
      </c>
      <c r="L205" s="205"/>
      <c r="M205" s="199">
        <v>1</v>
      </c>
      <c r="N205" s="199">
        <v>1</v>
      </c>
      <c r="O205" s="199">
        <v>1</v>
      </c>
      <c r="P205" s="199">
        <v>1</v>
      </c>
      <c r="Q205" s="199" t="s">
        <v>477</v>
      </c>
      <c r="R205" s="228">
        <v>90000000</v>
      </c>
      <c r="S205" s="199" t="s">
        <v>477</v>
      </c>
      <c r="T205" s="229">
        <v>90000000</v>
      </c>
      <c r="U205" s="199" t="s">
        <v>477</v>
      </c>
      <c r="V205" s="228">
        <v>90000000</v>
      </c>
      <c r="W205" s="199" t="s">
        <v>477</v>
      </c>
      <c r="X205" s="228">
        <f>90000000+5000000</f>
        <v>95000000</v>
      </c>
      <c r="Y205" s="230">
        <f t="shared" si="0"/>
        <v>365000000</v>
      </c>
    </row>
    <row r="206" spans="2:25" ht="73.5" customHeight="1" x14ac:dyDescent="0.2">
      <c r="B206" s="222" t="s">
        <v>39</v>
      </c>
      <c r="C206" s="187" t="s">
        <v>51</v>
      </c>
      <c r="D206" s="234" t="s">
        <v>482</v>
      </c>
      <c r="E206" s="186" t="s">
        <v>483</v>
      </c>
      <c r="F206" s="205"/>
      <c r="G206" s="212" t="s">
        <v>55</v>
      </c>
      <c r="H206" s="191" t="s">
        <v>67</v>
      </c>
      <c r="I206" s="191">
        <v>0</v>
      </c>
      <c r="J206" s="191">
        <v>2</v>
      </c>
      <c r="K206" s="191" t="s">
        <v>178</v>
      </c>
      <c r="L206" s="205"/>
      <c r="M206" s="199">
        <v>0</v>
      </c>
      <c r="N206" s="199">
        <v>1</v>
      </c>
      <c r="O206" s="199">
        <v>0</v>
      </c>
      <c r="P206" s="199">
        <v>1</v>
      </c>
      <c r="Q206" s="199"/>
      <c r="R206" s="228">
        <v>0</v>
      </c>
      <c r="S206" s="199" t="s">
        <v>478</v>
      </c>
      <c r="T206" s="229">
        <v>20000000</v>
      </c>
      <c r="U206" s="199"/>
      <c r="V206" s="228">
        <v>0</v>
      </c>
      <c r="W206" s="199" t="s">
        <v>478</v>
      </c>
      <c r="X206" s="228">
        <v>25000000</v>
      </c>
      <c r="Y206" s="230">
        <f t="shared" si="0"/>
        <v>45000000</v>
      </c>
    </row>
    <row r="207" spans="2:25" ht="79.5" customHeight="1" x14ac:dyDescent="0.2">
      <c r="B207" s="222" t="s">
        <v>39</v>
      </c>
      <c r="C207" s="187" t="s">
        <v>51</v>
      </c>
      <c r="D207" s="234" t="s">
        <v>482</v>
      </c>
      <c r="E207" s="186" t="s">
        <v>483</v>
      </c>
      <c r="F207" s="205"/>
      <c r="G207" s="232" t="s">
        <v>56</v>
      </c>
      <c r="H207" s="191" t="s">
        <v>67</v>
      </c>
      <c r="I207" s="191">
        <v>0</v>
      </c>
      <c r="J207" s="191">
        <v>4</v>
      </c>
      <c r="K207" s="191" t="s">
        <v>178</v>
      </c>
      <c r="L207" s="205"/>
      <c r="M207" s="199">
        <v>1</v>
      </c>
      <c r="N207" s="199">
        <v>1</v>
      </c>
      <c r="O207" s="199">
        <v>1</v>
      </c>
      <c r="P207" s="199">
        <v>1</v>
      </c>
      <c r="Q207" s="199" t="s">
        <v>478</v>
      </c>
      <c r="R207" s="228">
        <v>20000000</v>
      </c>
      <c r="S207" s="199" t="s">
        <v>478</v>
      </c>
      <c r="T207" s="229">
        <v>20000000</v>
      </c>
      <c r="U207" s="199" t="s">
        <v>478</v>
      </c>
      <c r="V207" s="228">
        <f>20000000-5000000</f>
        <v>15000000</v>
      </c>
      <c r="W207" s="199" t="s">
        <v>478</v>
      </c>
      <c r="X207" s="228">
        <f>15000000+5000000</f>
        <v>20000000</v>
      </c>
      <c r="Y207" s="230">
        <f t="shared" si="0"/>
        <v>75000000</v>
      </c>
    </row>
    <row r="208" spans="2:25" ht="76.5" customHeight="1" x14ac:dyDescent="0.2">
      <c r="B208" s="477" t="s">
        <v>39</v>
      </c>
      <c r="C208" s="479" t="s">
        <v>51</v>
      </c>
      <c r="D208" s="481" t="s">
        <v>482</v>
      </c>
      <c r="E208" s="481" t="s">
        <v>483</v>
      </c>
      <c r="F208" s="205"/>
      <c r="G208" s="493" t="s">
        <v>57</v>
      </c>
      <c r="H208" s="191" t="s">
        <v>67</v>
      </c>
      <c r="I208" s="191">
        <v>1</v>
      </c>
      <c r="J208" s="191">
        <v>1</v>
      </c>
      <c r="K208" s="191" t="s">
        <v>178</v>
      </c>
      <c r="L208" s="205"/>
      <c r="M208" s="470">
        <v>1</v>
      </c>
      <c r="N208" s="470">
        <v>1</v>
      </c>
      <c r="O208" s="470">
        <v>1</v>
      </c>
      <c r="P208" s="470">
        <v>1</v>
      </c>
      <c r="Q208" s="199" t="s">
        <v>477</v>
      </c>
      <c r="R208" s="228">
        <f>51000000+29000000</f>
        <v>80000000</v>
      </c>
      <c r="S208" s="199" t="s">
        <v>477</v>
      </c>
      <c r="T208" s="229">
        <f>130000000+30000000</f>
        <v>160000000</v>
      </c>
      <c r="U208" s="199" t="s">
        <v>477</v>
      </c>
      <c r="V208" s="228">
        <f>130000000+10945675+30000000</f>
        <v>170945675</v>
      </c>
      <c r="W208" s="199" t="s">
        <v>477</v>
      </c>
      <c r="X208" s="228">
        <f>140945675+5000000+30000000</f>
        <v>175945675</v>
      </c>
      <c r="Y208" s="230">
        <f t="shared" si="0"/>
        <v>586891350</v>
      </c>
    </row>
    <row r="209" spans="2:25" ht="76.5" customHeight="1" x14ac:dyDescent="0.2">
      <c r="B209" s="490"/>
      <c r="C209" s="491"/>
      <c r="D209" s="492"/>
      <c r="E209" s="492"/>
      <c r="F209" s="205"/>
      <c r="G209" s="494"/>
      <c r="H209" s="191"/>
      <c r="I209" s="191"/>
      <c r="J209" s="191"/>
      <c r="K209" s="191"/>
      <c r="L209" s="205"/>
      <c r="M209" s="471"/>
      <c r="N209" s="471"/>
      <c r="O209" s="471"/>
      <c r="P209" s="471"/>
      <c r="Q209" s="199" t="s">
        <v>478</v>
      </c>
      <c r="R209" s="228">
        <v>1227120000</v>
      </c>
      <c r="S209" s="199" t="s">
        <v>478</v>
      </c>
      <c r="T209" s="229">
        <f>1174600000-150000000-20000000</f>
        <v>1004600000</v>
      </c>
      <c r="U209" s="199" t="s">
        <v>478</v>
      </c>
      <c r="V209" s="228">
        <f>1174600000-165000000-15000000</f>
        <v>994600000</v>
      </c>
      <c r="W209" s="199" t="s">
        <v>478</v>
      </c>
      <c r="X209" s="228">
        <f>1174600000+10000000-170000000-25000000</f>
        <v>989600000</v>
      </c>
      <c r="Y209" s="230">
        <f t="shared" si="0"/>
        <v>4215920000</v>
      </c>
    </row>
    <row r="210" spans="2:25" ht="76.5" customHeight="1" x14ac:dyDescent="0.2">
      <c r="B210" s="490"/>
      <c r="C210" s="491"/>
      <c r="D210" s="492"/>
      <c r="E210" s="492"/>
      <c r="F210" s="205"/>
      <c r="G210" s="494"/>
      <c r="H210" s="191"/>
      <c r="I210" s="191"/>
      <c r="J210" s="191"/>
      <c r="K210" s="191"/>
      <c r="L210" s="205"/>
      <c r="M210" s="471"/>
      <c r="N210" s="471"/>
      <c r="O210" s="471"/>
      <c r="P210" s="471"/>
      <c r="Q210" s="199" t="s">
        <v>486</v>
      </c>
      <c r="R210" s="228">
        <v>42098000</v>
      </c>
      <c r="S210" s="199" t="s">
        <v>486</v>
      </c>
      <c r="T210" s="229"/>
      <c r="U210" s="199" t="s">
        <v>486</v>
      </c>
      <c r="V210" s="228"/>
      <c r="W210" s="199" t="s">
        <v>486</v>
      </c>
      <c r="X210" s="228"/>
      <c r="Y210" s="230">
        <f t="shared" si="0"/>
        <v>42098000</v>
      </c>
    </row>
    <row r="211" spans="2:25" ht="63" customHeight="1" x14ac:dyDescent="0.2">
      <c r="B211" s="222" t="s">
        <v>39</v>
      </c>
      <c r="C211" s="187" t="s">
        <v>51</v>
      </c>
      <c r="D211" s="234" t="s">
        <v>482</v>
      </c>
      <c r="E211" s="186" t="s">
        <v>483</v>
      </c>
      <c r="F211" s="205"/>
      <c r="G211" s="212" t="s">
        <v>58</v>
      </c>
      <c r="H211" s="191" t="s">
        <v>67</v>
      </c>
      <c r="I211" s="191">
        <v>1</v>
      </c>
      <c r="J211" s="191">
        <v>1</v>
      </c>
      <c r="K211" s="191" t="s">
        <v>178</v>
      </c>
      <c r="L211" s="205"/>
      <c r="M211" s="199">
        <v>1</v>
      </c>
      <c r="N211" s="199">
        <v>0</v>
      </c>
      <c r="O211" s="199">
        <v>0</v>
      </c>
      <c r="P211" s="199">
        <v>0</v>
      </c>
      <c r="Q211" s="199" t="s">
        <v>478</v>
      </c>
      <c r="R211" s="228">
        <v>50000000</v>
      </c>
      <c r="S211" s="199" t="s">
        <v>478</v>
      </c>
      <c r="T211" s="229">
        <v>0</v>
      </c>
      <c r="U211" s="199" t="s">
        <v>478</v>
      </c>
      <c r="V211" s="228">
        <v>0</v>
      </c>
      <c r="W211" s="199" t="s">
        <v>478</v>
      </c>
      <c r="X211" s="228">
        <v>0</v>
      </c>
      <c r="Y211" s="230">
        <f t="shared" si="0"/>
        <v>50000000</v>
      </c>
    </row>
    <row r="212" spans="2:25" ht="60.75" customHeight="1" x14ac:dyDescent="0.2">
      <c r="B212" s="222" t="s">
        <v>39</v>
      </c>
      <c r="C212" s="187" t="s">
        <v>51</v>
      </c>
      <c r="D212" s="234" t="s">
        <v>482</v>
      </c>
      <c r="E212" s="186" t="s">
        <v>483</v>
      </c>
      <c r="F212" s="205"/>
      <c r="G212" s="212" t="s">
        <v>59</v>
      </c>
      <c r="H212" s="191" t="s">
        <v>67</v>
      </c>
      <c r="I212" s="191">
        <v>0</v>
      </c>
      <c r="J212" s="191">
        <v>1</v>
      </c>
      <c r="K212" s="191" t="s">
        <v>178</v>
      </c>
      <c r="L212" s="205"/>
      <c r="M212" s="199">
        <v>1</v>
      </c>
      <c r="N212" s="199">
        <v>0</v>
      </c>
      <c r="O212" s="199">
        <v>0</v>
      </c>
      <c r="P212" s="199">
        <v>0</v>
      </c>
      <c r="Q212" s="199" t="s">
        <v>478</v>
      </c>
      <c r="R212" s="228">
        <v>30000000</v>
      </c>
      <c r="S212" s="199" t="s">
        <v>478</v>
      </c>
      <c r="T212" s="229">
        <v>30000000</v>
      </c>
      <c r="U212" s="199" t="s">
        <v>478</v>
      </c>
      <c r="V212" s="228">
        <v>30000000</v>
      </c>
      <c r="W212" s="199" t="s">
        <v>478</v>
      </c>
      <c r="X212" s="228">
        <v>30000000</v>
      </c>
      <c r="Y212" s="230">
        <f t="shared" si="0"/>
        <v>120000000</v>
      </c>
    </row>
    <row r="213" spans="2:25" ht="61.5" customHeight="1" x14ac:dyDescent="0.2">
      <c r="B213" s="222" t="s">
        <v>39</v>
      </c>
      <c r="C213" s="187" t="s">
        <v>51</v>
      </c>
      <c r="D213" s="234" t="s">
        <v>482</v>
      </c>
      <c r="E213" s="186" t="s">
        <v>483</v>
      </c>
      <c r="F213" s="205"/>
      <c r="G213" s="212" t="s">
        <v>60</v>
      </c>
      <c r="H213" s="191" t="s">
        <v>67</v>
      </c>
      <c r="I213" s="191">
        <v>0</v>
      </c>
      <c r="J213" s="191">
        <v>1</v>
      </c>
      <c r="K213" s="191" t="s">
        <v>178</v>
      </c>
      <c r="L213" s="205"/>
      <c r="M213" s="199">
        <v>1</v>
      </c>
      <c r="N213" s="199">
        <v>0</v>
      </c>
      <c r="O213" s="199">
        <v>0</v>
      </c>
      <c r="P213" s="199">
        <v>0</v>
      </c>
      <c r="Q213" s="199" t="s">
        <v>487</v>
      </c>
      <c r="R213" s="228">
        <v>52300000</v>
      </c>
      <c r="S213" s="199" t="s">
        <v>487</v>
      </c>
      <c r="T213" s="229">
        <f>52300000+10000000</f>
        <v>62300000</v>
      </c>
      <c r="U213" s="199" t="s">
        <v>487</v>
      </c>
      <c r="V213" s="228">
        <v>62300000</v>
      </c>
      <c r="W213" s="199" t="s">
        <v>487</v>
      </c>
      <c r="X213" s="228">
        <v>62300000</v>
      </c>
      <c r="Y213" s="230">
        <f t="shared" si="0"/>
        <v>239200000</v>
      </c>
    </row>
    <row r="214" spans="2:25" ht="78.75" x14ac:dyDescent="0.2">
      <c r="B214" s="222" t="s">
        <v>39</v>
      </c>
      <c r="C214" s="187" t="s">
        <v>51</v>
      </c>
      <c r="D214" s="233" t="s">
        <v>482</v>
      </c>
      <c r="E214" s="186" t="s">
        <v>483</v>
      </c>
      <c r="F214" s="205"/>
      <c r="G214" s="232" t="s">
        <v>61</v>
      </c>
      <c r="H214" s="191" t="s">
        <v>67</v>
      </c>
      <c r="I214" s="191">
        <v>0</v>
      </c>
      <c r="J214" s="191">
        <v>1</v>
      </c>
      <c r="K214" s="191" t="s">
        <v>178</v>
      </c>
      <c r="L214" s="205"/>
      <c r="M214" s="199">
        <v>0</v>
      </c>
      <c r="N214" s="199">
        <v>0</v>
      </c>
      <c r="O214" s="199">
        <v>1</v>
      </c>
      <c r="P214" s="199">
        <v>0</v>
      </c>
      <c r="Q214" s="199"/>
      <c r="R214" s="228"/>
      <c r="S214" s="199"/>
      <c r="T214" s="229"/>
      <c r="U214" s="199" t="s">
        <v>484</v>
      </c>
      <c r="V214" s="228">
        <v>15000000</v>
      </c>
      <c r="W214" s="199"/>
      <c r="X214" s="228"/>
      <c r="Y214" s="230">
        <f t="shared" si="0"/>
        <v>15000000</v>
      </c>
    </row>
    <row r="215" spans="2:25" ht="65.25" customHeight="1" x14ac:dyDescent="0.2">
      <c r="B215" s="477" t="s">
        <v>39</v>
      </c>
      <c r="C215" s="479" t="s">
        <v>51</v>
      </c>
      <c r="D215" s="481" t="s">
        <v>482</v>
      </c>
      <c r="E215" s="481" t="s">
        <v>483</v>
      </c>
      <c r="F215" s="205"/>
      <c r="G215" s="493" t="s">
        <v>62</v>
      </c>
      <c r="H215" s="191" t="s">
        <v>67</v>
      </c>
      <c r="I215" s="191">
        <v>0</v>
      </c>
      <c r="J215" s="191">
        <v>1</v>
      </c>
      <c r="K215" s="191" t="s">
        <v>178</v>
      </c>
      <c r="L215" s="205"/>
      <c r="M215" s="470">
        <v>1</v>
      </c>
      <c r="N215" s="470">
        <v>0</v>
      </c>
      <c r="O215" s="470">
        <v>0</v>
      </c>
      <c r="P215" s="470">
        <v>0</v>
      </c>
      <c r="Q215" s="199" t="s">
        <v>477</v>
      </c>
      <c r="R215" s="228">
        <v>30000000</v>
      </c>
      <c r="S215" s="199"/>
      <c r="T215" s="229"/>
      <c r="U215" s="199"/>
      <c r="V215" s="228"/>
      <c r="W215" s="199"/>
      <c r="X215" s="228"/>
      <c r="Y215" s="230">
        <f t="shared" si="0"/>
        <v>30000000</v>
      </c>
    </row>
    <row r="216" spans="2:25" ht="65.25" customHeight="1" x14ac:dyDescent="0.2">
      <c r="B216" s="490"/>
      <c r="C216" s="491"/>
      <c r="D216" s="492"/>
      <c r="E216" s="492"/>
      <c r="F216" s="205"/>
      <c r="G216" s="494"/>
      <c r="H216" s="191"/>
      <c r="I216" s="191"/>
      <c r="J216" s="191"/>
      <c r="K216" s="191"/>
      <c r="L216" s="205"/>
      <c r="M216" s="471"/>
      <c r="N216" s="471"/>
      <c r="O216" s="471"/>
      <c r="P216" s="471"/>
      <c r="Q216" s="235" t="s">
        <v>488</v>
      </c>
      <c r="R216" s="228">
        <v>532500000</v>
      </c>
      <c r="S216" s="199"/>
      <c r="T216" s="229"/>
      <c r="U216" s="199"/>
      <c r="V216" s="228"/>
      <c r="W216" s="199"/>
      <c r="X216" s="228"/>
      <c r="Y216" s="230">
        <f t="shared" si="0"/>
        <v>532500000</v>
      </c>
    </row>
    <row r="217" spans="2:25" ht="65.25" customHeight="1" x14ac:dyDescent="0.2">
      <c r="B217" s="478"/>
      <c r="C217" s="480"/>
      <c r="D217" s="482"/>
      <c r="E217" s="482"/>
      <c r="F217" s="205"/>
      <c r="G217" s="495"/>
      <c r="H217" s="191"/>
      <c r="I217" s="191"/>
      <c r="J217" s="191"/>
      <c r="K217" s="191"/>
      <c r="L217" s="205"/>
      <c r="M217" s="489"/>
      <c r="N217" s="489"/>
      <c r="O217" s="489"/>
      <c r="P217" s="489"/>
      <c r="Q217" s="199" t="s">
        <v>485</v>
      </c>
      <c r="R217" s="228">
        <f>78376000+109748959.31</f>
        <v>188124959.31</v>
      </c>
      <c r="S217" s="199"/>
      <c r="T217" s="229">
        <v>0</v>
      </c>
      <c r="U217" s="199"/>
      <c r="V217" s="228">
        <v>0</v>
      </c>
      <c r="W217" s="199"/>
      <c r="X217" s="228">
        <v>0</v>
      </c>
      <c r="Y217" s="230">
        <f t="shared" si="0"/>
        <v>188124959.31</v>
      </c>
    </row>
    <row r="218" spans="2:25" ht="109.15" customHeight="1" x14ac:dyDescent="0.25">
      <c r="B218" s="222" t="s">
        <v>39</v>
      </c>
      <c r="C218" s="213" t="s">
        <v>63</v>
      </c>
      <c r="D218" s="234" t="s">
        <v>489</v>
      </c>
      <c r="E218" s="186" t="s">
        <v>490</v>
      </c>
      <c r="F218" s="205"/>
      <c r="G218" s="212" t="s">
        <v>64</v>
      </c>
      <c r="H218" s="212" t="s">
        <v>67</v>
      </c>
      <c r="I218" s="212">
        <v>4</v>
      </c>
      <c r="J218" s="212">
        <v>5</v>
      </c>
      <c r="K218" s="191" t="s">
        <v>178</v>
      </c>
      <c r="L218" s="205"/>
      <c r="M218" s="199">
        <v>1</v>
      </c>
      <c r="N218" s="199">
        <v>1</v>
      </c>
      <c r="O218" s="199">
        <v>1</v>
      </c>
      <c r="P218" s="199">
        <v>1</v>
      </c>
      <c r="Q218" s="199" t="s">
        <v>484</v>
      </c>
      <c r="R218" s="228">
        <f>149000000+105971681</f>
        <v>254971681</v>
      </c>
      <c r="S218" s="199" t="s">
        <v>484</v>
      </c>
      <c r="T218" s="229">
        <v>149000000</v>
      </c>
      <c r="U218" s="199" t="s">
        <v>484</v>
      </c>
      <c r="V218" s="228">
        <f>149000000+80000000</f>
        <v>229000000</v>
      </c>
      <c r="W218" s="199" t="s">
        <v>484</v>
      </c>
      <c r="X218" s="228">
        <v>149000000</v>
      </c>
      <c r="Y218" s="230">
        <f t="shared" si="0"/>
        <v>781971681</v>
      </c>
    </row>
    <row r="219" spans="2:25" ht="63.6" customHeight="1" x14ac:dyDescent="0.2">
      <c r="B219" s="477" t="s">
        <v>39</v>
      </c>
      <c r="C219" s="496" t="s">
        <v>63</v>
      </c>
      <c r="D219" s="498" t="s">
        <v>489</v>
      </c>
      <c r="E219" s="481" t="s">
        <v>490</v>
      </c>
      <c r="F219" s="205"/>
      <c r="G219" s="493" t="s">
        <v>65</v>
      </c>
      <c r="H219" s="212" t="s">
        <v>67</v>
      </c>
      <c r="I219" s="212">
        <v>3</v>
      </c>
      <c r="J219" s="212">
        <v>3</v>
      </c>
      <c r="K219" s="191" t="s">
        <v>178</v>
      </c>
      <c r="L219" s="205"/>
      <c r="M219" s="470">
        <v>3</v>
      </c>
      <c r="N219" s="470">
        <v>3</v>
      </c>
      <c r="O219" s="470">
        <v>3</v>
      </c>
      <c r="P219" s="470">
        <v>3</v>
      </c>
      <c r="Q219" s="199" t="s">
        <v>484</v>
      </c>
      <c r="R219" s="228">
        <f>201000000+250000000</f>
        <v>451000000</v>
      </c>
      <c r="S219" s="199" t="s">
        <v>484</v>
      </c>
      <c r="T219" s="229">
        <v>183820208</v>
      </c>
      <c r="U219" s="199" t="s">
        <v>484</v>
      </c>
      <c r="V219" s="228">
        <f>183820208-80000000</f>
        <v>103820208</v>
      </c>
      <c r="W219" s="199" t="s">
        <v>484</v>
      </c>
      <c r="X219" s="228">
        <f>183820208+5000000</f>
        <v>188820208</v>
      </c>
      <c r="Y219" s="230">
        <f t="shared" si="0"/>
        <v>927460624</v>
      </c>
    </row>
    <row r="220" spans="2:25" ht="72" customHeight="1" x14ac:dyDescent="0.2">
      <c r="B220" s="478"/>
      <c r="C220" s="497"/>
      <c r="D220" s="499"/>
      <c r="E220" s="482"/>
      <c r="F220" s="205"/>
      <c r="G220" s="495"/>
      <c r="H220" s="212"/>
      <c r="I220" s="212"/>
      <c r="J220" s="212"/>
      <c r="K220" s="191"/>
      <c r="L220" s="205"/>
      <c r="M220" s="489"/>
      <c r="N220" s="489"/>
      <c r="O220" s="489"/>
      <c r="P220" s="489"/>
      <c r="Q220" s="199" t="s">
        <v>477</v>
      </c>
      <c r="R220" s="228">
        <v>22300000</v>
      </c>
      <c r="S220" s="199" t="s">
        <v>477</v>
      </c>
      <c r="T220" s="229">
        <f>22300000+30000000-5000000</f>
        <v>47300000</v>
      </c>
      <c r="U220" s="199" t="s">
        <v>477</v>
      </c>
      <c r="V220" s="228">
        <f>52300000+4000000-10000000</f>
        <v>46300000</v>
      </c>
      <c r="W220" s="199" t="s">
        <v>477</v>
      </c>
      <c r="X220" s="228">
        <f>56300000+9608774-15000000</f>
        <v>50908774</v>
      </c>
      <c r="Y220" s="230">
        <f t="shared" si="0"/>
        <v>166808774</v>
      </c>
    </row>
    <row r="221" spans="2:25" ht="110.25" x14ac:dyDescent="0.25">
      <c r="B221" s="222" t="s">
        <v>39</v>
      </c>
      <c r="C221" s="213" t="s">
        <v>63</v>
      </c>
      <c r="D221" s="234" t="s">
        <v>489</v>
      </c>
      <c r="E221" s="186" t="s">
        <v>490</v>
      </c>
      <c r="F221" s="205"/>
      <c r="G221" s="212" t="s">
        <v>66</v>
      </c>
      <c r="H221" s="212" t="s">
        <v>67</v>
      </c>
      <c r="I221" s="212">
        <v>4</v>
      </c>
      <c r="J221" s="212">
        <v>4</v>
      </c>
      <c r="K221" s="191" t="s">
        <v>178</v>
      </c>
      <c r="L221" s="205"/>
      <c r="M221" s="199">
        <v>1</v>
      </c>
      <c r="N221" s="199">
        <v>1</v>
      </c>
      <c r="O221" s="199">
        <v>1</v>
      </c>
      <c r="P221" s="199">
        <v>1</v>
      </c>
      <c r="Q221" s="199" t="s">
        <v>477</v>
      </c>
      <c r="R221" s="228">
        <v>30000000</v>
      </c>
      <c r="S221" s="199" t="s">
        <v>477</v>
      </c>
      <c r="T221" s="229">
        <v>35000000</v>
      </c>
      <c r="U221" s="199" t="s">
        <v>477</v>
      </c>
      <c r="V221" s="228">
        <v>40000000</v>
      </c>
      <c r="W221" s="199" t="s">
        <v>477</v>
      </c>
      <c r="X221" s="228">
        <f>30000000+15000000</f>
        <v>45000000</v>
      </c>
      <c r="Y221" s="230">
        <f t="shared" si="0"/>
        <v>150000000</v>
      </c>
    </row>
    <row r="222" spans="2:25" ht="67.5" hidden="1" customHeight="1" x14ac:dyDescent="0.2">
      <c r="B222" s="222" t="s">
        <v>39</v>
      </c>
      <c r="C222" s="187" t="s">
        <v>491</v>
      </c>
      <c r="D222" s="188"/>
      <c r="E222" s="186"/>
      <c r="F222" s="189" t="s">
        <v>492</v>
      </c>
      <c r="G222" s="212" t="s">
        <v>493</v>
      </c>
      <c r="H222" s="212" t="s">
        <v>67</v>
      </c>
      <c r="I222" s="212">
        <v>0</v>
      </c>
      <c r="J222" s="212">
        <v>1</v>
      </c>
      <c r="K222" s="196" t="s">
        <v>297</v>
      </c>
      <c r="L222" s="205"/>
      <c r="M222" s="193"/>
      <c r="N222" s="193"/>
      <c r="O222" s="193"/>
      <c r="P222" s="193"/>
      <c r="Q222" s="193"/>
      <c r="R222" s="236"/>
      <c r="S222" s="193"/>
      <c r="T222" s="193"/>
      <c r="U222" s="193"/>
      <c r="V222" s="193"/>
      <c r="W222" s="193"/>
      <c r="X222" s="193"/>
      <c r="Y222" s="193"/>
    </row>
    <row r="223" spans="2:25" ht="90" hidden="1" customHeight="1" x14ac:dyDescent="0.2">
      <c r="B223" s="222" t="s">
        <v>39</v>
      </c>
      <c r="C223" s="187" t="s">
        <v>491</v>
      </c>
      <c r="D223" s="188"/>
      <c r="E223" s="186"/>
      <c r="F223" s="189" t="s">
        <v>492</v>
      </c>
      <c r="G223" s="212" t="s">
        <v>494</v>
      </c>
      <c r="H223" s="212" t="s">
        <v>67</v>
      </c>
      <c r="I223" s="212">
        <v>0</v>
      </c>
      <c r="J223" s="212">
        <v>1</v>
      </c>
      <c r="K223" s="191" t="s">
        <v>495</v>
      </c>
      <c r="L223" s="205"/>
      <c r="M223" s="193"/>
      <c r="N223" s="193"/>
      <c r="O223" s="193"/>
      <c r="P223" s="193"/>
      <c r="Q223" s="193"/>
      <c r="R223" s="193"/>
      <c r="S223" s="193"/>
      <c r="T223" s="193"/>
      <c r="U223" s="193"/>
      <c r="V223" s="193"/>
      <c r="W223" s="193"/>
      <c r="X223" s="193"/>
      <c r="Y223" s="193"/>
    </row>
    <row r="224" spans="2:25" ht="60" hidden="1" customHeight="1" x14ac:dyDescent="0.2">
      <c r="B224" s="222" t="s">
        <v>39</v>
      </c>
      <c r="C224" s="187" t="s">
        <v>491</v>
      </c>
      <c r="D224" s="188"/>
      <c r="E224" s="186"/>
      <c r="F224" s="189" t="s">
        <v>492</v>
      </c>
      <c r="G224" s="212" t="s">
        <v>496</v>
      </c>
      <c r="H224" s="212" t="s">
        <v>67</v>
      </c>
      <c r="I224" s="212">
        <v>0</v>
      </c>
      <c r="J224" s="212">
        <v>1</v>
      </c>
      <c r="K224" s="191" t="s">
        <v>297</v>
      </c>
      <c r="L224" s="205"/>
      <c r="M224" s="193"/>
      <c r="N224" s="193"/>
      <c r="O224" s="193"/>
      <c r="P224" s="193"/>
      <c r="Q224" s="193"/>
      <c r="R224" s="193"/>
      <c r="S224" s="193"/>
      <c r="T224" s="193"/>
      <c r="U224" s="193"/>
      <c r="V224" s="193"/>
      <c r="W224" s="193"/>
      <c r="X224" s="193"/>
      <c r="Y224" s="193"/>
    </row>
    <row r="225" spans="2:25" ht="69.75" hidden="1" customHeight="1" x14ac:dyDescent="0.25">
      <c r="B225" s="222" t="s">
        <v>39</v>
      </c>
      <c r="C225" s="213" t="s">
        <v>497</v>
      </c>
      <c r="D225" s="214"/>
      <c r="E225" s="186"/>
      <c r="F225" s="205"/>
      <c r="G225" s="212" t="s">
        <v>498</v>
      </c>
      <c r="H225" s="212" t="s">
        <v>67</v>
      </c>
      <c r="I225" s="212">
        <v>0</v>
      </c>
      <c r="J225" s="212">
        <v>1</v>
      </c>
      <c r="K225" s="191" t="s">
        <v>297</v>
      </c>
      <c r="L225" s="205"/>
      <c r="M225" s="193"/>
      <c r="N225" s="193"/>
      <c r="O225" s="193"/>
      <c r="P225" s="193"/>
      <c r="Q225" s="193"/>
      <c r="R225" s="193"/>
      <c r="S225" s="193"/>
      <c r="T225" s="193"/>
      <c r="U225" s="193"/>
      <c r="V225" s="193"/>
      <c r="W225" s="193"/>
      <c r="X225" s="193"/>
      <c r="Y225" s="193"/>
    </row>
    <row r="226" spans="2:25" ht="72" hidden="1" customHeight="1" x14ac:dyDescent="0.2">
      <c r="B226" s="222" t="s">
        <v>39</v>
      </c>
      <c r="C226" s="187" t="s">
        <v>497</v>
      </c>
      <c r="D226" s="188"/>
      <c r="E226" s="186"/>
      <c r="F226" s="205"/>
      <c r="G226" s="212" t="s">
        <v>499</v>
      </c>
      <c r="H226" s="212" t="s">
        <v>67</v>
      </c>
      <c r="I226" s="212">
        <v>0</v>
      </c>
      <c r="J226" s="212">
        <v>1</v>
      </c>
      <c r="K226" s="191" t="s">
        <v>297</v>
      </c>
      <c r="L226" s="205"/>
      <c r="M226" s="193"/>
      <c r="N226" s="193"/>
      <c r="O226" s="193"/>
      <c r="P226" s="193"/>
      <c r="Q226" s="193"/>
      <c r="R226" s="193"/>
      <c r="S226" s="193"/>
      <c r="T226" s="193"/>
      <c r="U226" s="193"/>
      <c r="V226" s="193"/>
      <c r="W226" s="193"/>
      <c r="X226" s="193"/>
      <c r="Y226" s="193"/>
    </row>
    <row r="227" spans="2:25" ht="75" hidden="1" customHeight="1" x14ac:dyDescent="0.2">
      <c r="B227" s="222" t="s">
        <v>39</v>
      </c>
      <c r="C227" s="187" t="s">
        <v>497</v>
      </c>
      <c r="D227" s="188"/>
      <c r="E227" s="186"/>
      <c r="F227" s="237" t="s">
        <v>500</v>
      </c>
      <c r="G227" s="212" t="s">
        <v>501</v>
      </c>
      <c r="H227" s="191" t="s">
        <v>67</v>
      </c>
      <c r="I227" s="191">
        <v>15</v>
      </c>
      <c r="J227" s="191">
        <v>50</v>
      </c>
      <c r="K227" s="191" t="s">
        <v>297</v>
      </c>
      <c r="L227" s="205"/>
      <c r="M227" s="193"/>
      <c r="N227" s="193"/>
      <c r="O227" s="193"/>
      <c r="P227" s="193"/>
      <c r="Q227" s="193"/>
      <c r="R227" s="193"/>
      <c r="S227" s="193"/>
      <c r="T227" s="193"/>
      <c r="U227" s="193"/>
      <c r="V227" s="193"/>
      <c r="W227" s="193"/>
      <c r="X227" s="193"/>
      <c r="Y227" s="193"/>
    </row>
    <row r="228" spans="2:25" ht="58.5" hidden="1" customHeight="1" x14ac:dyDescent="0.2">
      <c r="B228" s="222" t="s">
        <v>39</v>
      </c>
      <c r="C228" s="187" t="s">
        <v>497</v>
      </c>
      <c r="D228" s="188"/>
      <c r="E228" s="186"/>
      <c r="F228" s="237" t="s">
        <v>500</v>
      </c>
      <c r="G228" s="212" t="s">
        <v>502</v>
      </c>
      <c r="H228" s="191" t="s">
        <v>67</v>
      </c>
      <c r="I228" s="191">
        <v>0</v>
      </c>
      <c r="J228" s="191">
        <v>1</v>
      </c>
      <c r="K228" s="191" t="s">
        <v>297</v>
      </c>
      <c r="L228" s="205"/>
      <c r="M228" s="193"/>
      <c r="N228" s="193"/>
      <c r="O228" s="193"/>
      <c r="P228" s="193"/>
      <c r="Q228" s="193"/>
      <c r="R228" s="193"/>
      <c r="S228" s="193"/>
      <c r="T228" s="193"/>
      <c r="U228" s="193"/>
      <c r="V228" s="193"/>
      <c r="W228" s="193"/>
      <c r="X228" s="193"/>
      <c r="Y228" s="193"/>
    </row>
    <row r="229" spans="2:25" ht="105" hidden="1" customHeight="1" x14ac:dyDescent="0.2">
      <c r="B229" s="222" t="s">
        <v>39</v>
      </c>
      <c r="C229" s="187" t="s">
        <v>497</v>
      </c>
      <c r="D229" s="188"/>
      <c r="E229" s="188"/>
      <c r="F229" s="237" t="s">
        <v>500</v>
      </c>
      <c r="G229" s="212" t="s">
        <v>503</v>
      </c>
      <c r="H229" s="191" t="s">
        <v>67</v>
      </c>
      <c r="I229" s="191">
        <v>0</v>
      </c>
      <c r="J229" s="191">
        <v>1</v>
      </c>
      <c r="K229" s="191" t="s">
        <v>297</v>
      </c>
      <c r="L229" s="205"/>
      <c r="M229" s="193"/>
      <c r="N229" s="193"/>
      <c r="O229" s="193"/>
      <c r="P229" s="193"/>
      <c r="Q229" s="193"/>
      <c r="R229" s="193"/>
      <c r="S229" s="193"/>
      <c r="T229" s="193"/>
      <c r="U229" s="193"/>
      <c r="V229" s="193"/>
      <c r="W229" s="193"/>
      <c r="X229" s="193"/>
      <c r="Y229" s="193"/>
    </row>
    <row r="230" spans="2:25" ht="58.5" hidden="1" customHeight="1" x14ac:dyDescent="0.2">
      <c r="B230" s="222" t="s">
        <v>39</v>
      </c>
      <c r="C230" s="187" t="s">
        <v>497</v>
      </c>
      <c r="D230" s="188"/>
      <c r="E230" s="188"/>
      <c r="F230" s="237" t="s">
        <v>500</v>
      </c>
      <c r="G230" s="212" t="s">
        <v>504</v>
      </c>
      <c r="H230" s="191" t="s">
        <v>67</v>
      </c>
      <c r="I230" s="191">
        <v>0</v>
      </c>
      <c r="J230" s="191">
        <v>1</v>
      </c>
      <c r="K230" s="191" t="s">
        <v>297</v>
      </c>
      <c r="L230" s="205"/>
      <c r="M230" s="193"/>
      <c r="N230" s="193"/>
      <c r="O230" s="193"/>
      <c r="P230" s="193"/>
      <c r="Q230" s="193"/>
      <c r="R230" s="193"/>
      <c r="S230" s="193"/>
      <c r="T230" s="193"/>
      <c r="U230" s="193"/>
      <c r="V230" s="193"/>
      <c r="W230" s="193"/>
      <c r="X230" s="193"/>
      <c r="Y230" s="193"/>
    </row>
    <row r="231" spans="2:25" ht="75" hidden="1" customHeight="1" x14ac:dyDescent="0.2">
      <c r="B231" s="222" t="s">
        <v>39</v>
      </c>
      <c r="C231" s="187" t="s">
        <v>497</v>
      </c>
      <c r="D231" s="188"/>
      <c r="E231" s="188"/>
      <c r="F231" s="237" t="s">
        <v>500</v>
      </c>
      <c r="G231" s="212" t="s">
        <v>505</v>
      </c>
      <c r="H231" s="191" t="s">
        <v>67</v>
      </c>
      <c r="I231" s="191">
        <v>0</v>
      </c>
      <c r="J231" s="191">
        <v>2</v>
      </c>
      <c r="K231" s="210" t="s">
        <v>253</v>
      </c>
      <c r="L231" s="205"/>
      <c r="M231" s="193"/>
      <c r="N231" s="193"/>
      <c r="O231" s="193"/>
      <c r="P231" s="193"/>
      <c r="Q231" s="193"/>
      <c r="R231" s="193"/>
      <c r="S231" s="193"/>
      <c r="T231" s="193"/>
      <c r="U231" s="193"/>
      <c r="V231" s="193"/>
      <c r="W231" s="193"/>
      <c r="X231" s="193"/>
      <c r="Y231" s="193"/>
    </row>
    <row r="232" spans="2:25" ht="60" hidden="1" customHeight="1" x14ac:dyDescent="0.2">
      <c r="B232" s="222" t="s">
        <v>39</v>
      </c>
      <c r="C232" s="187" t="s">
        <v>497</v>
      </c>
      <c r="D232" s="188"/>
      <c r="E232" s="188"/>
      <c r="F232" s="237" t="s">
        <v>500</v>
      </c>
      <c r="G232" s="212" t="s">
        <v>506</v>
      </c>
      <c r="H232" s="191" t="s">
        <v>67</v>
      </c>
      <c r="I232" s="191">
        <v>600</v>
      </c>
      <c r="J232" s="191">
        <v>2400</v>
      </c>
      <c r="K232" s="191" t="s">
        <v>297</v>
      </c>
      <c r="L232" s="205"/>
      <c r="M232" s="193"/>
      <c r="N232" s="193"/>
      <c r="O232" s="193"/>
      <c r="P232" s="193"/>
      <c r="Q232" s="193"/>
      <c r="R232" s="193"/>
      <c r="S232" s="193"/>
      <c r="T232" s="193"/>
      <c r="U232" s="193"/>
      <c r="V232" s="193"/>
      <c r="W232" s="193"/>
      <c r="X232" s="193"/>
      <c r="Y232" s="193"/>
    </row>
    <row r="233" spans="2:25" ht="78.75" hidden="1" customHeight="1" x14ac:dyDescent="0.2">
      <c r="B233" s="187" t="s">
        <v>507</v>
      </c>
      <c r="C233" s="187" t="s">
        <v>508</v>
      </c>
      <c r="D233" s="188"/>
      <c r="E233" s="188"/>
      <c r="F233" s="189" t="s">
        <v>509</v>
      </c>
      <c r="G233" s="212" t="s">
        <v>510</v>
      </c>
      <c r="H233" s="191" t="s">
        <v>67</v>
      </c>
      <c r="I233" s="191">
        <v>1</v>
      </c>
      <c r="J233" s="191">
        <v>1</v>
      </c>
      <c r="K233" s="191" t="s">
        <v>232</v>
      </c>
      <c r="L233" s="205"/>
      <c r="M233" s="193"/>
      <c r="N233" s="193"/>
      <c r="O233" s="193"/>
      <c r="P233" s="193"/>
      <c r="Q233" s="193"/>
      <c r="R233" s="193"/>
      <c r="S233" s="193"/>
      <c r="T233" s="193"/>
      <c r="U233" s="193"/>
      <c r="V233" s="193"/>
      <c r="W233" s="193"/>
      <c r="X233" s="193"/>
      <c r="Y233" s="193"/>
    </row>
    <row r="234" spans="2:25" ht="75" hidden="1" customHeight="1" x14ac:dyDescent="0.2">
      <c r="B234" s="187" t="s">
        <v>507</v>
      </c>
      <c r="C234" s="187" t="s">
        <v>508</v>
      </c>
      <c r="D234" s="188"/>
      <c r="E234" s="188"/>
      <c r="F234" s="189" t="s">
        <v>509</v>
      </c>
      <c r="G234" s="216" t="s">
        <v>511</v>
      </c>
      <c r="H234" s="191" t="s">
        <v>67</v>
      </c>
      <c r="I234" s="191">
        <v>4</v>
      </c>
      <c r="J234" s="191">
        <v>4</v>
      </c>
      <c r="K234" s="191" t="s">
        <v>232</v>
      </c>
      <c r="L234" s="205"/>
      <c r="M234" s="193"/>
      <c r="N234" s="193"/>
      <c r="O234" s="193"/>
      <c r="P234" s="193"/>
      <c r="Q234" s="193"/>
      <c r="R234" s="193"/>
      <c r="S234" s="193"/>
      <c r="T234" s="193"/>
      <c r="U234" s="193"/>
      <c r="V234" s="193"/>
      <c r="W234" s="193"/>
      <c r="X234" s="193"/>
      <c r="Y234" s="193"/>
    </row>
    <row r="235" spans="2:25" ht="75" hidden="1" customHeight="1" x14ac:dyDescent="0.2">
      <c r="B235" s="187" t="s">
        <v>507</v>
      </c>
      <c r="C235" s="187" t="s">
        <v>508</v>
      </c>
      <c r="D235" s="188"/>
      <c r="E235" s="188"/>
      <c r="F235" s="189" t="s">
        <v>509</v>
      </c>
      <c r="G235" s="216" t="s">
        <v>512</v>
      </c>
      <c r="H235" s="191" t="s">
        <v>67</v>
      </c>
      <c r="I235" s="191">
        <v>4</v>
      </c>
      <c r="J235" s="191">
        <v>4</v>
      </c>
      <c r="K235" s="191" t="s">
        <v>232</v>
      </c>
      <c r="L235" s="205"/>
      <c r="M235" s="193"/>
      <c r="N235" s="193"/>
      <c r="O235" s="193"/>
      <c r="P235" s="193"/>
      <c r="Q235" s="193"/>
      <c r="R235" s="193"/>
      <c r="S235" s="193"/>
      <c r="T235" s="193"/>
      <c r="U235" s="193"/>
      <c r="V235" s="193"/>
      <c r="W235" s="193"/>
      <c r="X235" s="193"/>
      <c r="Y235" s="193"/>
    </row>
    <row r="236" spans="2:25" ht="45" hidden="1" customHeight="1" x14ac:dyDescent="0.2">
      <c r="B236" s="187" t="s">
        <v>507</v>
      </c>
      <c r="C236" s="187" t="s">
        <v>508</v>
      </c>
      <c r="D236" s="188"/>
      <c r="E236" s="188"/>
      <c r="F236" s="189" t="s">
        <v>509</v>
      </c>
      <c r="G236" s="212" t="s">
        <v>513</v>
      </c>
      <c r="H236" s="191" t="s">
        <v>67</v>
      </c>
      <c r="I236" s="191">
        <v>0</v>
      </c>
      <c r="J236" s="191">
        <v>4</v>
      </c>
      <c r="K236" s="191" t="s">
        <v>232</v>
      </c>
      <c r="L236" s="205"/>
      <c r="M236" s="193"/>
      <c r="N236" s="193"/>
      <c r="O236" s="193"/>
      <c r="P236" s="193"/>
      <c r="Q236" s="193"/>
      <c r="R236" s="193"/>
      <c r="S236" s="193"/>
      <c r="T236" s="193"/>
      <c r="U236" s="193"/>
      <c r="V236" s="193"/>
      <c r="W236" s="193"/>
      <c r="X236" s="193"/>
      <c r="Y236" s="193"/>
    </row>
    <row r="237" spans="2:25" ht="135" hidden="1" customHeight="1" x14ac:dyDescent="0.2">
      <c r="B237" s="187" t="s">
        <v>507</v>
      </c>
      <c r="C237" s="187" t="s">
        <v>508</v>
      </c>
      <c r="D237" s="188"/>
      <c r="E237" s="188"/>
      <c r="F237" s="189" t="s">
        <v>509</v>
      </c>
      <c r="G237" s="212" t="s">
        <v>514</v>
      </c>
      <c r="H237" s="191" t="s">
        <v>67</v>
      </c>
      <c r="I237" s="191">
        <v>0</v>
      </c>
      <c r="J237" s="191">
        <v>6</v>
      </c>
      <c r="K237" s="191" t="s">
        <v>232</v>
      </c>
      <c r="L237" s="205"/>
      <c r="M237" s="193"/>
      <c r="N237" s="193"/>
      <c r="O237" s="193"/>
      <c r="P237" s="193"/>
      <c r="Q237" s="193"/>
      <c r="R237" s="193"/>
      <c r="S237" s="193"/>
      <c r="T237" s="193"/>
      <c r="U237" s="193"/>
      <c r="V237" s="193"/>
      <c r="W237" s="193"/>
      <c r="X237" s="193"/>
      <c r="Y237" s="193"/>
    </row>
    <row r="238" spans="2:25" ht="45" hidden="1" customHeight="1" x14ac:dyDescent="0.25">
      <c r="B238" s="187" t="s">
        <v>507</v>
      </c>
      <c r="C238" s="213" t="s">
        <v>508</v>
      </c>
      <c r="D238" s="214"/>
      <c r="E238" s="214"/>
      <c r="F238" s="189" t="s">
        <v>509</v>
      </c>
      <c r="G238" s="212" t="s">
        <v>515</v>
      </c>
      <c r="H238" s="191" t="s">
        <v>67</v>
      </c>
      <c r="I238" s="191">
        <v>2</v>
      </c>
      <c r="J238" s="191">
        <v>8</v>
      </c>
      <c r="K238" s="191" t="s">
        <v>232</v>
      </c>
      <c r="L238" s="205"/>
      <c r="M238" s="193"/>
      <c r="N238" s="193"/>
      <c r="O238" s="193"/>
      <c r="P238" s="193"/>
      <c r="Q238" s="193"/>
      <c r="R238" s="193"/>
      <c r="S238" s="193"/>
      <c r="T238" s="193"/>
      <c r="U238" s="193"/>
      <c r="V238" s="193"/>
      <c r="W238" s="193"/>
      <c r="X238" s="193"/>
      <c r="Y238" s="193"/>
    </row>
    <row r="239" spans="2:25" ht="45" hidden="1" customHeight="1" x14ac:dyDescent="0.25">
      <c r="B239" s="187" t="s">
        <v>507</v>
      </c>
      <c r="C239" s="213" t="s">
        <v>508</v>
      </c>
      <c r="D239" s="214"/>
      <c r="E239" s="214"/>
      <c r="F239" s="189" t="s">
        <v>509</v>
      </c>
      <c r="G239" s="212" t="s">
        <v>516</v>
      </c>
      <c r="H239" s="191" t="s">
        <v>67</v>
      </c>
      <c r="I239" s="191">
        <v>0</v>
      </c>
      <c r="J239" s="191">
        <v>1</v>
      </c>
      <c r="K239" s="191" t="s">
        <v>232</v>
      </c>
      <c r="L239" s="205"/>
      <c r="M239" s="193"/>
      <c r="N239" s="193"/>
      <c r="O239" s="193"/>
      <c r="P239" s="193"/>
      <c r="Q239" s="193"/>
      <c r="R239" s="193"/>
      <c r="S239" s="193"/>
      <c r="T239" s="193"/>
      <c r="U239" s="193"/>
      <c r="V239" s="193"/>
      <c r="W239" s="193"/>
      <c r="X239" s="193"/>
      <c r="Y239" s="193"/>
    </row>
    <row r="240" spans="2:25" ht="45" hidden="1" customHeight="1" x14ac:dyDescent="0.25">
      <c r="B240" s="187" t="s">
        <v>507</v>
      </c>
      <c r="C240" s="213" t="s">
        <v>508</v>
      </c>
      <c r="D240" s="214"/>
      <c r="E240" s="214"/>
      <c r="F240" s="189" t="s">
        <v>509</v>
      </c>
      <c r="G240" s="212" t="s">
        <v>517</v>
      </c>
      <c r="H240" s="191" t="s">
        <v>67</v>
      </c>
      <c r="I240" s="191">
        <v>6</v>
      </c>
      <c r="J240" s="191">
        <v>6</v>
      </c>
      <c r="K240" s="191" t="s">
        <v>232</v>
      </c>
      <c r="L240" s="205"/>
      <c r="M240" s="193"/>
      <c r="N240" s="193"/>
      <c r="O240" s="193"/>
      <c r="P240" s="193"/>
      <c r="Q240" s="193"/>
      <c r="R240" s="193"/>
      <c r="S240" s="193"/>
      <c r="T240" s="193"/>
      <c r="U240" s="193"/>
      <c r="V240" s="193"/>
      <c r="W240" s="193"/>
      <c r="X240" s="193"/>
      <c r="Y240" s="193"/>
    </row>
    <row r="241" spans="2:25" ht="75" hidden="1" customHeight="1" x14ac:dyDescent="0.2">
      <c r="B241" s="187" t="s">
        <v>507</v>
      </c>
      <c r="C241" s="187" t="s">
        <v>508</v>
      </c>
      <c r="D241" s="188"/>
      <c r="E241" s="188"/>
      <c r="F241" s="189" t="s">
        <v>509</v>
      </c>
      <c r="G241" s="212" t="s">
        <v>518</v>
      </c>
      <c r="H241" s="191" t="s">
        <v>67</v>
      </c>
      <c r="I241" s="191">
        <v>0</v>
      </c>
      <c r="J241" s="191">
        <v>2</v>
      </c>
      <c r="K241" s="191" t="s">
        <v>232</v>
      </c>
      <c r="L241" s="205"/>
      <c r="M241" s="193"/>
      <c r="N241" s="193"/>
      <c r="O241" s="193"/>
      <c r="P241" s="193"/>
      <c r="Q241" s="193"/>
      <c r="R241" s="193"/>
      <c r="S241" s="193"/>
      <c r="T241" s="193"/>
      <c r="U241" s="193"/>
      <c r="V241" s="193"/>
      <c r="W241" s="193"/>
      <c r="X241" s="193"/>
      <c r="Y241" s="193"/>
    </row>
    <row r="242" spans="2:25" ht="31.15" hidden="1" customHeight="1" x14ac:dyDescent="0.25">
      <c r="B242" s="187" t="s">
        <v>507</v>
      </c>
      <c r="C242" s="213" t="s">
        <v>508</v>
      </c>
      <c r="D242" s="214"/>
      <c r="E242" s="214"/>
      <c r="F242" s="189" t="s">
        <v>519</v>
      </c>
      <c r="G242" s="212" t="s">
        <v>520</v>
      </c>
      <c r="H242" s="191" t="s">
        <v>67</v>
      </c>
      <c r="I242" s="191">
        <v>0</v>
      </c>
      <c r="J242" s="191">
        <v>1</v>
      </c>
      <c r="K242" s="191" t="s">
        <v>361</v>
      </c>
      <c r="L242" s="205"/>
      <c r="M242" s="193"/>
      <c r="N242" s="193"/>
      <c r="O242" s="193"/>
      <c r="P242" s="193"/>
      <c r="Q242" s="193"/>
      <c r="R242" s="193"/>
      <c r="S242" s="193"/>
      <c r="T242" s="193"/>
      <c r="U242" s="193"/>
      <c r="V242" s="193"/>
      <c r="W242" s="193"/>
      <c r="X242" s="193"/>
      <c r="Y242" s="193"/>
    </row>
    <row r="243" spans="2:25" ht="31.15" hidden="1" customHeight="1" x14ac:dyDescent="0.25">
      <c r="B243" s="187" t="s">
        <v>507</v>
      </c>
      <c r="C243" s="213" t="s">
        <v>508</v>
      </c>
      <c r="D243" s="214"/>
      <c r="E243" s="214"/>
      <c r="F243" s="189" t="s">
        <v>519</v>
      </c>
      <c r="G243" s="212" t="s">
        <v>521</v>
      </c>
      <c r="H243" s="191" t="s">
        <v>67</v>
      </c>
      <c r="I243" s="191">
        <v>0</v>
      </c>
      <c r="J243" s="191">
        <v>24</v>
      </c>
      <c r="K243" s="191" t="s">
        <v>361</v>
      </c>
      <c r="L243" s="205"/>
      <c r="M243" s="193"/>
      <c r="N243" s="193"/>
      <c r="O243" s="193"/>
      <c r="P243" s="193"/>
      <c r="Q243" s="193"/>
      <c r="R243" s="193"/>
      <c r="S243" s="193"/>
      <c r="T243" s="193"/>
      <c r="U243" s="193"/>
      <c r="V243" s="193"/>
      <c r="W243" s="193"/>
      <c r="X243" s="193"/>
      <c r="Y243" s="193"/>
    </row>
    <row r="244" spans="2:25" ht="45" hidden="1" customHeight="1" x14ac:dyDescent="0.25">
      <c r="B244" s="187" t="s">
        <v>507</v>
      </c>
      <c r="C244" s="213" t="s">
        <v>508</v>
      </c>
      <c r="D244" s="214"/>
      <c r="E244" s="214"/>
      <c r="F244" s="189" t="s">
        <v>519</v>
      </c>
      <c r="G244" s="212" t="s">
        <v>522</v>
      </c>
      <c r="H244" s="191" t="s">
        <v>523</v>
      </c>
      <c r="I244" s="215">
        <v>9000</v>
      </c>
      <c r="J244" s="215">
        <v>10000</v>
      </c>
      <c r="K244" s="191" t="s">
        <v>361</v>
      </c>
      <c r="L244" s="205"/>
      <c r="M244" s="193"/>
      <c r="N244" s="193"/>
      <c r="O244" s="193"/>
      <c r="P244" s="193"/>
      <c r="Q244" s="193"/>
      <c r="R244" s="193"/>
      <c r="S244" s="193"/>
      <c r="T244" s="193"/>
      <c r="U244" s="193"/>
      <c r="V244" s="193"/>
      <c r="W244" s="193"/>
      <c r="X244" s="193"/>
      <c r="Y244" s="193"/>
    </row>
    <row r="245" spans="2:25" ht="31.15" hidden="1" customHeight="1" x14ac:dyDescent="0.25">
      <c r="B245" s="187" t="s">
        <v>507</v>
      </c>
      <c r="C245" s="213" t="s">
        <v>508</v>
      </c>
      <c r="D245" s="214"/>
      <c r="E245" s="214"/>
      <c r="F245" s="189" t="s">
        <v>519</v>
      </c>
      <c r="G245" s="212" t="s">
        <v>524</v>
      </c>
      <c r="H245" s="191" t="s">
        <v>67</v>
      </c>
      <c r="I245" s="191">
        <v>576</v>
      </c>
      <c r="J245" s="191">
        <v>600</v>
      </c>
      <c r="K245" s="191" t="s">
        <v>361</v>
      </c>
      <c r="L245" s="205"/>
      <c r="M245" s="193"/>
      <c r="N245" s="193"/>
      <c r="O245" s="193"/>
      <c r="P245" s="193"/>
      <c r="Q245" s="193"/>
      <c r="R245" s="193"/>
      <c r="S245" s="193"/>
      <c r="T245" s="193"/>
      <c r="U245" s="193"/>
      <c r="V245" s="193"/>
      <c r="W245" s="193"/>
      <c r="X245" s="193"/>
      <c r="Y245" s="193"/>
    </row>
    <row r="246" spans="2:25" ht="45" hidden="1" customHeight="1" x14ac:dyDescent="0.25">
      <c r="B246" s="187" t="s">
        <v>507</v>
      </c>
      <c r="C246" s="213" t="s">
        <v>508</v>
      </c>
      <c r="D246" s="214"/>
      <c r="E246" s="214"/>
      <c r="F246" s="189" t="s">
        <v>519</v>
      </c>
      <c r="G246" s="212" t="s">
        <v>525</v>
      </c>
      <c r="H246" s="191" t="s">
        <v>67</v>
      </c>
      <c r="I246" s="191">
        <v>0</v>
      </c>
      <c r="J246" s="191">
        <v>20</v>
      </c>
      <c r="K246" s="191" t="s">
        <v>361</v>
      </c>
      <c r="L246" s="205"/>
      <c r="M246" s="193"/>
      <c r="N246" s="193"/>
      <c r="O246" s="193"/>
      <c r="P246" s="193"/>
      <c r="Q246" s="193"/>
      <c r="R246" s="193"/>
      <c r="S246" s="193"/>
      <c r="T246" s="193"/>
      <c r="U246" s="193"/>
      <c r="V246" s="193"/>
      <c r="W246" s="193"/>
      <c r="X246" s="193"/>
      <c r="Y246" s="193"/>
    </row>
    <row r="247" spans="2:25" ht="60" hidden="1" customHeight="1" x14ac:dyDescent="0.25">
      <c r="B247" s="187" t="s">
        <v>507</v>
      </c>
      <c r="C247" s="213" t="s">
        <v>508</v>
      </c>
      <c r="D247" s="214"/>
      <c r="E247" s="214"/>
      <c r="F247" s="189" t="s">
        <v>519</v>
      </c>
      <c r="G247" s="212" t="s">
        <v>526</v>
      </c>
      <c r="H247" s="191" t="s">
        <v>67</v>
      </c>
      <c r="I247" s="191">
        <v>0</v>
      </c>
      <c r="J247" s="191">
        <v>30</v>
      </c>
      <c r="K247" s="191" t="s">
        <v>361</v>
      </c>
      <c r="L247" s="205"/>
      <c r="M247" s="193"/>
      <c r="N247" s="193"/>
      <c r="O247" s="193"/>
      <c r="P247" s="193"/>
      <c r="Q247" s="193"/>
      <c r="R247" s="193"/>
      <c r="S247" s="193"/>
      <c r="T247" s="193"/>
      <c r="U247" s="193"/>
      <c r="V247" s="193"/>
      <c r="W247" s="193"/>
      <c r="X247" s="193"/>
      <c r="Y247" s="193"/>
    </row>
    <row r="248" spans="2:25" ht="31.15" hidden="1" customHeight="1" x14ac:dyDescent="0.25">
      <c r="B248" s="187" t="s">
        <v>507</v>
      </c>
      <c r="C248" s="213" t="s">
        <v>508</v>
      </c>
      <c r="D248" s="214"/>
      <c r="E248" s="214"/>
      <c r="F248" s="189" t="s">
        <v>519</v>
      </c>
      <c r="G248" s="212" t="s">
        <v>527</v>
      </c>
      <c r="H248" s="191" t="s">
        <v>67</v>
      </c>
      <c r="I248" s="191">
        <v>34</v>
      </c>
      <c r="J248" s="191">
        <v>42</v>
      </c>
      <c r="K248" s="191" t="s">
        <v>361</v>
      </c>
      <c r="L248" s="205"/>
      <c r="M248" s="193"/>
      <c r="N248" s="193"/>
      <c r="O248" s="193"/>
      <c r="P248" s="193"/>
      <c r="Q248" s="193"/>
      <c r="R248" s="193"/>
      <c r="S248" s="193"/>
      <c r="T248" s="193"/>
      <c r="U248" s="193"/>
      <c r="V248" s="193"/>
      <c r="W248" s="193"/>
      <c r="X248" s="193"/>
      <c r="Y248" s="193"/>
    </row>
    <row r="249" spans="2:25" ht="45.6" hidden="1" customHeight="1" x14ac:dyDescent="0.25">
      <c r="B249" s="187" t="s">
        <v>507</v>
      </c>
      <c r="C249" s="213" t="s">
        <v>508</v>
      </c>
      <c r="D249" s="214"/>
      <c r="E249" s="214"/>
      <c r="F249" s="216" t="s">
        <v>528</v>
      </c>
      <c r="G249" s="203" t="s">
        <v>529</v>
      </c>
      <c r="H249" s="202" t="s">
        <v>530</v>
      </c>
      <c r="I249" s="202">
        <v>0</v>
      </c>
      <c r="J249" s="238">
        <v>1</v>
      </c>
      <c r="K249" s="202" t="s">
        <v>531</v>
      </c>
      <c r="L249" s="205"/>
      <c r="M249" s="193"/>
      <c r="N249" s="193"/>
      <c r="O249" s="193"/>
      <c r="P249" s="193"/>
      <c r="Q249" s="193"/>
      <c r="R249" s="193"/>
      <c r="S249" s="193"/>
      <c r="T249" s="193"/>
      <c r="U249" s="193"/>
      <c r="V249" s="193"/>
      <c r="W249" s="193"/>
      <c r="X249" s="193"/>
      <c r="Y249" s="193"/>
    </row>
    <row r="250" spans="2:25" ht="60" hidden="1" customHeight="1" x14ac:dyDescent="0.25">
      <c r="B250" s="187" t="s">
        <v>507</v>
      </c>
      <c r="C250" s="213" t="s">
        <v>508</v>
      </c>
      <c r="D250" s="214"/>
      <c r="E250" s="214"/>
      <c r="F250" s="216" t="s">
        <v>532</v>
      </c>
      <c r="G250" s="189" t="s">
        <v>533</v>
      </c>
      <c r="H250" s="202" t="s">
        <v>67</v>
      </c>
      <c r="I250" s="202">
        <v>0</v>
      </c>
      <c r="J250" s="202">
        <v>100</v>
      </c>
      <c r="K250" s="202" t="s">
        <v>241</v>
      </c>
      <c r="L250" s="205"/>
      <c r="M250" s="193"/>
      <c r="N250" s="193"/>
      <c r="O250" s="193"/>
      <c r="P250" s="193"/>
      <c r="Q250" s="193"/>
      <c r="R250" s="193"/>
      <c r="S250" s="193"/>
      <c r="T250" s="193"/>
      <c r="U250" s="193"/>
      <c r="V250" s="193"/>
      <c r="W250" s="193"/>
      <c r="X250" s="193"/>
      <c r="Y250" s="193"/>
    </row>
    <row r="251" spans="2:25" ht="120" hidden="1" customHeight="1" x14ac:dyDescent="0.2">
      <c r="B251" s="187" t="s">
        <v>507</v>
      </c>
      <c r="C251" s="187" t="s">
        <v>508</v>
      </c>
      <c r="D251" s="188"/>
      <c r="E251" s="188"/>
      <c r="F251" s="189" t="s">
        <v>534</v>
      </c>
      <c r="G251" s="203" t="s">
        <v>535</v>
      </c>
      <c r="H251" s="202" t="s">
        <v>67</v>
      </c>
      <c r="I251" s="202">
        <v>0</v>
      </c>
      <c r="J251" s="202">
        <v>1</v>
      </c>
      <c r="K251" s="202" t="s">
        <v>264</v>
      </c>
      <c r="L251" s="205"/>
      <c r="M251" s="193"/>
      <c r="N251" s="193"/>
      <c r="O251" s="193"/>
      <c r="P251" s="193"/>
      <c r="Q251" s="193"/>
      <c r="R251" s="193"/>
      <c r="S251" s="193"/>
      <c r="T251" s="193"/>
      <c r="U251" s="193"/>
      <c r="V251" s="193"/>
      <c r="W251" s="193"/>
      <c r="X251" s="193"/>
      <c r="Y251" s="193"/>
    </row>
    <row r="252" spans="2:25" ht="31.15" hidden="1" customHeight="1" x14ac:dyDescent="0.25">
      <c r="B252" s="187" t="s">
        <v>507</v>
      </c>
      <c r="C252" s="213" t="s">
        <v>508</v>
      </c>
      <c r="D252" s="214"/>
      <c r="E252" s="214"/>
      <c r="F252" s="216" t="s">
        <v>534</v>
      </c>
      <c r="G252" s="189" t="s">
        <v>536</v>
      </c>
      <c r="H252" s="202" t="s">
        <v>67</v>
      </c>
      <c r="I252" s="202">
        <v>0</v>
      </c>
      <c r="J252" s="204">
        <v>10000</v>
      </c>
      <c r="K252" s="202" t="s">
        <v>264</v>
      </c>
      <c r="L252" s="205"/>
      <c r="M252" s="193"/>
      <c r="N252" s="193"/>
      <c r="O252" s="193"/>
      <c r="P252" s="193"/>
      <c r="Q252" s="193"/>
      <c r="R252" s="193"/>
      <c r="S252" s="193"/>
      <c r="T252" s="193"/>
      <c r="U252" s="193"/>
      <c r="V252" s="193"/>
      <c r="W252" s="193"/>
      <c r="X252" s="193"/>
      <c r="Y252" s="193"/>
    </row>
    <row r="253" spans="2:25" ht="60" hidden="1" customHeight="1" x14ac:dyDescent="0.25">
      <c r="B253" s="187" t="s">
        <v>507</v>
      </c>
      <c r="C253" s="213" t="s">
        <v>508</v>
      </c>
      <c r="D253" s="214"/>
      <c r="E253" s="214"/>
      <c r="F253" s="216" t="s">
        <v>534</v>
      </c>
      <c r="G253" s="203" t="s">
        <v>537</v>
      </c>
      <c r="H253" s="202" t="s">
        <v>67</v>
      </c>
      <c r="I253" s="202">
        <v>0</v>
      </c>
      <c r="J253" s="202">
        <v>2</v>
      </c>
      <c r="K253" s="202" t="s">
        <v>264</v>
      </c>
      <c r="L253" s="205"/>
      <c r="M253" s="193"/>
      <c r="N253" s="193"/>
      <c r="O253" s="193"/>
      <c r="P253" s="193"/>
      <c r="Q253" s="193"/>
      <c r="R253" s="193"/>
      <c r="S253" s="193"/>
      <c r="T253" s="193"/>
      <c r="U253" s="193"/>
      <c r="V253" s="193"/>
      <c r="W253" s="193"/>
      <c r="X253" s="193"/>
      <c r="Y253" s="193"/>
    </row>
    <row r="254" spans="2:25" ht="45.6" hidden="1" customHeight="1" x14ac:dyDescent="0.25">
      <c r="B254" s="187" t="s">
        <v>507</v>
      </c>
      <c r="C254" s="213" t="s">
        <v>538</v>
      </c>
      <c r="D254" s="214"/>
      <c r="E254" s="214"/>
      <c r="F254" s="216" t="s">
        <v>539</v>
      </c>
      <c r="G254" s="212" t="s">
        <v>540</v>
      </c>
      <c r="H254" s="191" t="s">
        <v>67</v>
      </c>
      <c r="I254" s="191">
        <v>0</v>
      </c>
      <c r="J254" s="191">
        <v>4</v>
      </c>
      <c r="K254" s="191" t="s">
        <v>232</v>
      </c>
      <c r="L254" s="205"/>
      <c r="M254" s="193"/>
      <c r="N254" s="193"/>
      <c r="O254" s="193"/>
      <c r="P254" s="193"/>
      <c r="Q254" s="193"/>
      <c r="R254" s="193"/>
      <c r="S254" s="193"/>
      <c r="T254" s="193"/>
      <c r="U254" s="193"/>
      <c r="V254" s="193"/>
      <c r="W254" s="193"/>
      <c r="X254" s="193"/>
      <c r="Y254" s="193"/>
    </row>
    <row r="255" spans="2:25" ht="75" hidden="1" customHeight="1" x14ac:dyDescent="0.25">
      <c r="B255" s="187" t="s">
        <v>507</v>
      </c>
      <c r="C255" s="213" t="s">
        <v>538</v>
      </c>
      <c r="D255" s="214"/>
      <c r="E255" s="214"/>
      <c r="F255" s="216" t="s">
        <v>539</v>
      </c>
      <c r="G255" s="212" t="s">
        <v>541</v>
      </c>
      <c r="H255" s="191" t="s">
        <v>67</v>
      </c>
      <c r="I255" s="191">
        <v>0</v>
      </c>
      <c r="J255" s="191">
        <v>3600</v>
      </c>
      <c r="K255" s="191" t="s">
        <v>232</v>
      </c>
      <c r="L255" s="205"/>
      <c r="M255" s="193"/>
      <c r="N255" s="193"/>
      <c r="O255" s="193"/>
      <c r="P255" s="193"/>
      <c r="Q255" s="193"/>
      <c r="R255" s="193"/>
      <c r="S255" s="193"/>
      <c r="T255" s="193"/>
      <c r="U255" s="193"/>
      <c r="V255" s="193"/>
      <c r="W255" s="193"/>
      <c r="X255" s="193"/>
      <c r="Y255" s="193"/>
    </row>
    <row r="256" spans="2:25" ht="66" hidden="1" customHeight="1" x14ac:dyDescent="0.25">
      <c r="B256" s="187" t="s">
        <v>507</v>
      </c>
      <c r="C256" s="213" t="s">
        <v>538</v>
      </c>
      <c r="D256" s="214"/>
      <c r="E256" s="214"/>
      <c r="F256" s="216" t="s">
        <v>539</v>
      </c>
      <c r="G256" s="226" t="s">
        <v>542</v>
      </c>
      <c r="H256" s="226" t="s">
        <v>67</v>
      </c>
      <c r="I256" s="191">
        <v>16</v>
      </c>
      <c r="J256" s="191">
        <v>32</v>
      </c>
      <c r="K256" s="226" t="s">
        <v>232</v>
      </c>
      <c r="L256" s="205"/>
      <c r="M256" s="193"/>
      <c r="N256" s="193"/>
      <c r="O256" s="193"/>
      <c r="P256" s="193"/>
      <c r="Q256" s="193"/>
      <c r="R256" s="193"/>
      <c r="S256" s="193"/>
      <c r="T256" s="193"/>
      <c r="U256" s="193"/>
      <c r="V256" s="193"/>
      <c r="W256" s="193"/>
      <c r="X256" s="193"/>
      <c r="Y256" s="193"/>
    </row>
    <row r="257" spans="2:25" ht="60" hidden="1" customHeight="1" x14ac:dyDescent="0.25">
      <c r="B257" s="187" t="s">
        <v>507</v>
      </c>
      <c r="C257" s="213" t="s">
        <v>538</v>
      </c>
      <c r="D257" s="214"/>
      <c r="E257" s="214"/>
      <c r="F257" s="216" t="s">
        <v>539</v>
      </c>
      <c r="G257" s="212" t="s">
        <v>543</v>
      </c>
      <c r="H257" s="191" t="s">
        <v>67</v>
      </c>
      <c r="I257" s="191">
        <v>5954</v>
      </c>
      <c r="J257" s="208">
        <v>8000</v>
      </c>
      <c r="K257" s="208" t="s">
        <v>232</v>
      </c>
      <c r="L257" s="205"/>
      <c r="M257" s="193"/>
      <c r="N257" s="193"/>
      <c r="O257" s="193"/>
      <c r="P257" s="193"/>
      <c r="Q257" s="193"/>
      <c r="R257" s="193"/>
      <c r="S257" s="193"/>
      <c r="T257" s="193"/>
      <c r="U257" s="193"/>
      <c r="V257" s="193"/>
      <c r="W257" s="193"/>
      <c r="X257" s="193"/>
      <c r="Y257" s="193"/>
    </row>
    <row r="258" spans="2:25" ht="60" hidden="1" customHeight="1" x14ac:dyDescent="0.25">
      <c r="B258" s="187" t="s">
        <v>507</v>
      </c>
      <c r="C258" s="213" t="s">
        <v>538</v>
      </c>
      <c r="D258" s="214"/>
      <c r="E258" s="214"/>
      <c r="F258" s="216" t="s">
        <v>539</v>
      </c>
      <c r="G258" s="212" t="s">
        <v>544</v>
      </c>
      <c r="H258" s="191" t="s">
        <v>67</v>
      </c>
      <c r="I258" s="191">
        <v>16</v>
      </c>
      <c r="J258" s="191">
        <v>32</v>
      </c>
      <c r="K258" s="191" t="s">
        <v>232</v>
      </c>
      <c r="L258" s="205"/>
      <c r="M258" s="193"/>
      <c r="N258" s="193"/>
      <c r="O258" s="193"/>
      <c r="P258" s="193"/>
      <c r="Q258" s="193"/>
      <c r="R258" s="193"/>
      <c r="S258" s="193"/>
      <c r="T258" s="193"/>
      <c r="U258" s="193"/>
      <c r="V258" s="193"/>
      <c r="W258" s="193"/>
      <c r="X258" s="193"/>
      <c r="Y258" s="193"/>
    </row>
    <row r="259" spans="2:25" ht="45.6" hidden="1" customHeight="1" x14ac:dyDescent="0.25">
      <c r="B259" s="187" t="s">
        <v>507</v>
      </c>
      <c r="C259" s="213" t="s">
        <v>538</v>
      </c>
      <c r="D259" s="214"/>
      <c r="E259" s="214"/>
      <c r="F259" s="216" t="s">
        <v>539</v>
      </c>
      <c r="G259" s="212" t="s">
        <v>545</v>
      </c>
      <c r="H259" s="191" t="s">
        <v>67</v>
      </c>
      <c r="I259" s="191">
        <v>0</v>
      </c>
      <c r="J259" s="191">
        <v>1</v>
      </c>
      <c r="K259" s="196" t="s">
        <v>225</v>
      </c>
      <c r="L259" s="205"/>
      <c r="M259" s="199">
        <v>1</v>
      </c>
      <c r="N259" s="206">
        <v>1</v>
      </c>
      <c r="O259" s="199">
        <v>1</v>
      </c>
      <c r="P259" s="199">
        <v>1</v>
      </c>
      <c r="Q259" s="199"/>
      <c r="R259" s="193"/>
      <c r="S259" s="193"/>
      <c r="T259" s="193"/>
      <c r="U259" s="193"/>
      <c r="V259" s="193"/>
      <c r="W259" s="193"/>
      <c r="X259" s="193"/>
      <c r="Y259" s="193"/>
    </row>
    <row r="260" spans="2:25" ht="31.15" hidden="1" customHeight="1" x14ac:dyDescent="0.25">
      <c r="B260" s="187" t="s">
        <v>507</v>
      </c>
      <c r="C260" s="213" t="s">
        <v>546</v>
      </c>
      <c r="D260" s="214"/>
      <c r="E260" s="214"/>
      <c r="F260" s="239" t="s">
        <v>547</v>
      </c>
      <c r="G260" s="209" t="s">
        <v>548</v>
      </c>
      <c r="H260" s="208" t="s">
        <v>250</v>
      </c>
      <c r="I260" s="208">
        <v>1</v>
      </c>
      <c r="J260" s="208">
        <v>1</v>
      </c>
      <c r="K260" s="208" t="s">
        <v>232</v>
      </c>
      <c r="L260" s="205"/>
      <c r="M260" s="193"/>
      <c r="N260" s="193"/>
      <c r="O260" s="193"/>
      <c r="P260" s="193"/>
      <c r="Q260" s="193"/>
      <c r="R260" s="193"/>
      <c r="S260" s="193"/>
      <c r="T260" s="193"/>
      <c r="U260" s="193"/>
      <c r="V260" s="193"/>
      <c r="W260" s="193"/>
      <c r="X260" s="193"/>
      <c r="Y260" s="193"/>
    </row>
    <row r="261" spans="2:25" ht="45" hidden="1" customHeight="1" x14ac:dyDescent="0.25">
      <c r="B261" s="187" t="s">
        <v>507</v>
      </c>
      <c r="C261" s="213" t="s">
        <v>546</v>
      </c>
      <c r="D261" s="214"/>
      <c r="E261" s="214"/>
      <c r="F261" s="239" t="s">
        <v>547</v>
      </c>
      <c r="G261" s="209" t="s">
        <v>549</v>
      </c>
      <c r="H261" s="208" t="s">
        <v>67</v>
      </c>
      <c r="I261" s="208">
        <v>16</v>
      </c>
      <c r="J261" s="208">
        <v>32</v>
      </c>
      <c r="K261" s="208" t="s">
        <v>232</v>
      </c>
      <c r="L261" s="205"/>
      <c r="M261" s="193"/>
      <c r="N261" s="193"/>
      <c r="O261" s="193"/>
      <c r="P261" s="193"/>
      <c r="Q261" s="193"/>
      <c r="R261" s="193"/>
      <c r="S261" s="193"/>
      <c r="T261" s="193"/>
      <c r="U261" s="193"/>
      <c r="V261" s="193"/>
      <c r="W261" s="193"/>
      <c r="X261" s="193"/>
      <c r="Y261" s="193"/>
    </row>
    <row r="262" spans="2:25" ht="45" hidden="1" customHeight="1" x14ac:dyDescent="0.25">
      <c r="B262" s="187" t="s">
        <v>507</v>
      </c>
      <c r="C262" s="213" t="s">
        <v>546</v>
      </c>
      <c r="D262" s="214"/>
      <c r="E262" s="214"/>
      <c r="F262" s="239" t="s">
        <v>547</v>
      </c>
      <c r="G262" s="209" t="s">
        <v>550</v>
      </c>
      <c r="H262" s="208" t="s">
        <v>67</v>
      </c>
      <c r="I262" s="208">
        <v>0</v>
      </c>
      <c r="J262" s="208">
        <v>400</v>
      </c>
      <c r="K262" s="208" t="s">
        <v>232</v>
      </c>
      <c r="L262" s="205"/>
      <c r="M262" s="193"/>
      <c r="N262" s="193"/>
      <c r="O262" s="193"/>
      <c r="P262" s="193"/>
      <c r="Q262" s="193"/>
      <c r="R262" s="193"/>
      <c r="S262" s="193"/>
      <c r="T262" s="193"/>
      <c r="U262" s="193"/>
      <c r="V262" s="193"/>
      <c r="W262" s="193"/>
      <c r="X262" s="193"/>
      <c r="Y262" s="193"/>
    </row>
    <row r="263" spans="2:25" ht="63.75" hidden="1" customHeight="1" x14ac:dyDescent="0.25">
      <c r="B263" s="187" t="s">
        <v>507</v>
      </c>
      <c r="C263" s="213" t="s">
        <v>546</v>
      </c>
      <c r="D263" s="214"/>
      <c r="E263" s="214"/>
      <c r="F263" s="239" t="s">
        <v>547</v>
      </c>
      <c r="G263" s="240" t="s">
        <v>551</v>
      </c>
      <c r="H263" s="208" t="s">
        <v>67</v>
      </c>
      <c r="I263" s="208">
        <v>221</v>
      </c>
      <c r="J263" s="208">
        <v>250</v>
      </c>
      <c r="K263" s="240" t="s">
        <v>232</v>
      </c>
      <c r="L263" s="205"/>
      <c r="M263" s="193"/>
      <c r="N263" s="193"/>
      <c r="O263" s="193"/>
      <c r="P263" s="193"/>
      <c r="Q263" s="193"/>
      <c r="R263" s="193"/>
      <c r="S263" s="193"/>
      <c r="T263" s="193"/>
      <c r="U263" s="193"/>
      <c r="V263" s="193"/>
      <c r="W263" s="193"/>
      <c r="X263" s="193"/>
      <c r="Y263" s="193"/>
    </row>
    <row r="264" spans="2:25" ht="45" hidden="1" customHeight="1" x14ac:dyDescent="0.25">
      <c r="B264" s="187" t="s">
        <v>507</v>
      </c>
      <c r="C264" s="213" t="s">
        <v>546</v>
      </c>
      <c r="D264" s="214"/>
      <c r="E264" s="214"/>
      <c r="F264" s="239" t="s">
        <v>547</v>
      </c>
      <c r="G264" s="209" t="s">
        <v>552</v>
      </c>
      <c r="H264" s="208" t="s">
        <v>67</v>
      </c>
      <c r="I264" s="208">
        <v>2</v>
      </c>
      <c r="J264" s="208">
        <v>6</v>
      </c>
      <c r="K264" s="208" t="s">
        <v>232</v>
      </c>
      <c r="L264" s="205"/>
      <c r="M264" s="193"/>
      <c r="N264" s="193"/>
      <c r="O264" s="193"/>
      <c r="P264" s="193"/>
      <c r="Q264" s="193"/>
      <c r="R264" s="193"/>
      <c r="S264" s="193"/>
      <c r="T264" s="193"/>
      <c r="U264" s="193"/>
      <c r="V264" s="193"/>
      <c r="W264" s="193"/>
      <c r="X264" s="193"/>
      <c r="Y264" s="193"/>
    </row>
    <row r="265" spans="2:25" ht="60" hidden="1" customHeight="1" x14ac:dyDescent="0.25">
      <c r="B265" s="187" t="s">
        <v>507</v>
      </c>
      <c r="C265" s="213" t="s">
        <v>546</v>
      </c>
      <c r="D265" s="214"/>
      <c r="E265" s="214"/>
      <c r="F265" s="239" t="s">
        <v>547</v>
      </c>
      <c r="G265" s="209" t="s">
        <v>553</v>
      </c>
      <c r="H265" s="208" t="s">
        <v>67</v>
      </c>
      <c r="I265" s="208">
        <v>0</v>
      </c>
      <c r="J265" s="208">
        <v>8</v>
      </c>
      <c r="K265" s="208" t="s">
        <v>232</v>
      </c>
      <c r="L265" s="205"/>
      <c r="M265" s="193"/>
      <c r="N265" s="193"/>
      <c r="O265" s="193"/>
      <c r="P265" s="193"/>
      <c r="Q265" s="193"/>
      <c r="R265" s="193"/>
      <c r="S265" s="193"/>
      <c r="T265" s="193"/>
      <c r="U265" s="193"/>
      <c r="V265" s="193"/>
      <c r="W265" s="193"/>
      <c r="X265" s="193"/>
      <c r="Y265" s="193"/>
    </row>
    <row r="266" spans="2:25" ht="45" hidden="1" customHeight="1" x14ac:dyDescent="0.25">
      <c r="B266" s="187" t="s">
        <v>507</v>
      </c>
      <c r="C266" s="213" t="s">
        <v>554</v>
      </c>
      <c r="D266" s="214"/>
      <c r="E266" s="214"/>
      <c r="F266" s="205" t="s">
        <v>555</v>
      </c>
      <c r="G266" s="209" t="s">
        <v>556</v>
      </c>
      <c r="H266" s="209" t="s">
        <v>67</v>
      </c>
      <c r="I266" s="208">
        <v>0</v>
      </c>
      <c r="J266" s="208">
        <v>13</v>
      </c>
      <c r="K266" s="208" t="s">
        <v>232</v>
      </c>
      <c r="L266" s="205"/>
      <c r="M266" s="193"/>
      <c r="N266" s="193"/>
      <c r="O266" s="193"/>
      <c r="P266" s="193"/>
      <c r="Q266" s="193"/>
      <c r="R266" s="193"/>
      <c r="S266" s="193"/>
      <c r="T266" s="193"/>
      <c r="U266" s="193"/>
      <c r="V266" s="193"/>
      <c r="W266" s="193"/>
      <c r="X266" s="193"/>
      <c r="Y266" s="193"/>
    </row>
    <row r="267" spans="2:25" ht="45" hidden="1" customHeight="1" x14ac:dyDescent="0.25">
      <c r="B267" s="187" t="s">
        <v>507</v>
      </c>
      <c r="C267" s="213" t="s">
        <v>554</v>
      </c>
      <c r="D267" s="214"/>
      <c r="E267" s="214"/>
      <c r="F267" s="205" t="s">
        <v>555</v>
      </c>
      <c r="G267" s="209" t="s">
        <v>557</v>
      </c>
      <c r="H267" s="209" t="s">
        <v>67</v>
      </c>
      <c r="I267" s="208">
        <v>3</v>
      </c>
      <c r="J267" s="208">
        <v>3</v>
      </c>
      <c r="K267" s="208" t="s">
        <v>232</v>
      </c>
      <c r="L267" s="205"/>
      <c r="M267" s="193"/>
      <c r="N267" s="193"/>
      <c r="O267" s="193"/>
      <c r="P267" s="193"/>
      <c r="Q267" s="193"/>
      <c r="R267" s="193"/>
      <c r="S267" s="193"/>
      <c r="T267" s="193"/>
      <c r="U267" s="193"/>
      <c r="V267" s="193"/>
      <c r="W267" s="193"/>
      <c r="X267" s="193"/>
      <c r="Y267" s="193"/>
    </row>
    <row r="268" spans="2:25" ht="45" hidden="1" customHeight="1" x14ac:dyDescent="0.25">
      <c r="B268" s="187" t="s">
        <v>507</v>
      </c>
      <c r="C268" s="213" t="s">
        <v>554</v>
      </c>
      <c r="D268" s="214"/>
      <c r="E268" s="214"/>
      <c r="F268" s="205" t="s">
        <v>555</v>
      </c>
      <c r="G268" s="209" t="s">
        <v>558</v>
      </c>
      <c r="H268" s="209" t="s">
        <v>67</v>
      </c>
      <c r="I268" s="208">
        <v>1</v>
      </c>
      <c r="J268" s="208">
        <v>1</v>
      </c>
      <c r="K268" s="208" t="s">
        <v>232</v>
      </c>
      <c r="L268" s="205"/>
      <c r="M268" s="193"/>
      <c r="N268" s="193"/>
      <c r="O268" s="193"/>
      <c r="P268" s="193"/>
      <c r="Q268" s="193"/>
      <c r="R268" s="193"/>
      <c r="S268" s="193"/>
      <c r="T268" s="193"/>
      <c r="U268" s="193"/>
      <c r="V268" s="193"/>
      <c r="W268" s="193"/>
      <c r="X268" s="193"/>
      <c r="Y268" s="193"/>
    </row>
    <row r="269" spans="2:25" ht="60" hidden="1" customHeight="1" x14ac:dyDescent="0.2">
      <c r="B269" s="187" t="s">
        <v>507</v>
      </c>
      <c r="C269" s="187" t="s">
        <v>554</v>
      </c>
      <c r="D269" s="188"/>
      <c r="E269" s="188"/>
      <c r="F269" s="205" t="s">
        <v>555</v>
      </c>
      <c r="G269" s="241" t="s">
        <v>559</v>
      </c>
      <c r="H269" s="209" t="s">
        <v>67</v>
      </c>
      <c r="I269" s="208">
        <v>15</v>
      </c>
      <c r="J269" s="208">
        <v>18</v>
      </c>
      <c r="K269" s="208" t="s">
        <v>255</v>
      </c>
      <c r="L269" s="205"/>
      <c r="M269" s="193"/>
      <c r="N269" s="193"/>
      <c r="O269" s="193"/>
      <c r="P269" s="193"/>
      <c r="Q269" s="193"/>
      <c r="R269" s="193"/>
      <c r="S269" s="193"/>
      <c r="T269" s="193"/>
      <c r="U269" s="193"/>
      <c r="V269" s="193"/>
      <c r="W269" s="193"/>
      <c r="X269" s="193"/>
      <c r="Y269" s="193"/>
    </row>
    <row r="270" spans="2:25" ht="75" hidden="1" customHeight="1" x14ac:dyDescent="0.2">
      <c r="B270" s="187" t="s">
        <v>507</v>
      </c>
      <c r="C270" s="242" t="s">
        <v>560</v>
      </c>
      <c r="D270" s="233"/>
      <c r="E270" s="233"/>
      <c r="F270" s="243" t="s">
        <v>561</v>
      </c>
      <c r="G270" s="209" t="s">
        <v>562</v>
      </c>
      <c r="H270" s="208" t="s">
        <v>67</v>
      </c>
      <c r="I270" s="208">
        <v>0</v>
      </c>
      <c r="J270" s="208">
        <v>40</v>
      </c>
      <c r="K270" s="210" t="s">
        <v>253</v>
      </c>
      <c r="L270" s="205"/>
      <c r="M270" s="193"/>
      <c r="N270" s="193"/>
      <c r="O270" s="193"/>
      <c r="P270" s="193"/>
      <c r="Q270" s="193"/>
      <c r="R270" s="193"/>
      <c r="S270" s="193"/>
      <c r="T270" s="193"/>
      <c r="U270" s="193"/>
      <c r="V270" s="193"/>
      <c r="W270" s="193"/>
      <c r="X270" s="193"/>
      <c r="Y270" s="193"/>
    </row>
    <row r="271" spans="2:25" ht="60" hidden="1" customHeight="1" x14ac:dyDescent="0.2">
      <c r="B271" s="187" t="s">
        <v>507</v>
      </c>
      <c r="C271" s="242" t="s">
        <v>560</v>
      </c>
      <c r="D271" s="233"/>
      <c r="E271" s="233"/>
      <c r="F271" s="243" t="s">
        <v>561</v>
      </c>
      <c r="G271" s="209" t="s">
        <v>563</v>
      </c>
      <c r="H271" s="208" t="s">
        <v>67</v>
      </c>
      <c r="I271" s="208">
        <v>0</v>
      </c>
      <c r="J271" s="208">
        <v>20</v>
      </c>
      <c r="K271" s="210" t="s">
        <v>253</v>
      </c>
      <c r="L271" s="205"/>
      <c r="M271" s="193"/>
      <c r="N271" s="193"/>
      <c r="O271" s="193"/>
      <c r="P271" s="193"/>
      <c r="Q271" s="193"/>
      <c r="R271" s="193"/>
      <c r="S271" s="193"/>
      <c r="T271" s="193"/>
      <c r="U271" s="193"/>
      <c r="V271" s="193"/>
      <c r="W271" s="193"/>
      <c r="X271" s="193"/>
      <c r="Y271" s="193"/>
    </row>
    <row r="272" spans="2:25" ht="90" hidden="1" customHeight="1" x14ac:dyDescent="0.2">
      <c r="B272" s="187" t="s">
        <v>507</v>
      </c>
      <c r="C272" s="242" t="s">
        <v>560</v>
      </c>
      <c r="D272" s="233"/>
      <c r="E272" s="233"/>
      <c r="F272" s="243" t="s">
        <v>561</v>
      </c>
      <c r="G272" s="209" t="s">
        <v>564</v>
      </c>
      <c r="H272" s="208" t="s">
        <v>67</v>
      </c>
      <c r="I272" s="208">
        <v>271</v>
      </c>
      <c r="J272" s="208">
        <v>300</v>
      </c>
      <c r="K272" s="210" t="s">
        <v>253</v>
      </c>
      <c r="L272" s="205"/>
      <c r="M272" s="193"/>
      <c r="N272" s="193"/>
      <c r="O272" s="193"/>
      <c r="P272" s="193"/>
      <c r="Q272" s="193"/>
      <c r="R272" s="193"/>
      <c r="S272" s="193"/>
      <c r="T272" s="193"/>
      <c r="U272" s="193"/>
      <c r="V272" s="193"/>
      <c r="W272" s="193"/>
      <c r="X272" s="193"/>
      <c r="Y272" s="193"/>
    </row>
    <row r="273" spans="2:25" ht="90" hidden="1" customHeight="1" x14ac:dyDescent="0.2">
      <c r="B273" s="187" t="s">
        <v>507</v>
      </c>
      <c r="C273" s="187" t="s">
        <v>560</v>
      </c>
      <c r="D273" s="188"/>
      <c r="E273" s="188"/>
      <c r="F273" s="243" t="s">
        <v>561</v>
      </c>
      <c r="G273" s="209" t="s">
        <v>565</v>
      </c>
      <c r="H273" s="208" t="s">
        <v>67</v>
      </c>
      <c r="I273" s="208">
        <v>4</v>
      </c>
      <c r="J273" s="208">
        <v>12</v>
      </c>
      <c r="K273" s="210" t="s">
        <v>253</v>
      </c>
      <c r="L273" s="205"/>
      <c r="M273" s="193"/>
      <c r="N273" s="193"/>
      <c r="O273" s="193"/>
      <c r="P273" s="193"/>
      <c r="Q273" s="193"/>
      <c r="R273" s="193"/>
      <c r="S273" s="193"/>
      <c r="T273" s="193"/>
      <c r="U273" s="193"/>
      <c r="V273" s="193"/>
      <c r="W273" s="193"/>
      <c r="X273" s="193"/>
      <c r="Y273" s="193"/>
    </row>
    <row r="274" spans="2:25" ht="60" hidden="1" customHeight="1" x14ac:dyDescent="0.25">
      <c r="B274" s="187" t="s">
        <v>507</v>
      </c>
      <c r="C274" s="213" t="s">
        <v>566</v>
      </c>
      <c r="D274" s="214"/>
      <c r="E274" s="214"/>
      <c r="F274" s="189" t="s">
        <v>567</v>
      </c>
      <c r="G274" s="209" t="s">
        <v>568</v>
      </c>
      <c r="H274" s="208" t="s">
        <v>67</v>
      </c>
      <c r="I274" s="208">
        <v>1</v>
      </c>
      <c r="J274" s="208">
        <v>1</v>
      </c>
      <c r="K274" s="208" t="s">
        <v>232</v>
      </c>
      <c r="L274" s="205"/>
      <c r="M274" s="193"/>
      <c r="N274" s="193"/>
      <c r="O274" s="193"/>
      <c r="P274" s="193"/>
      <c r="Q274" s="193"/>
      <c r="R274" s="193"/>
      <c r="S274" s="193"/>
      <c r="T274" s="193"/>
      <c r="U274" s="193"/>
      <c r="V274" s="193"/>
      <c r="W274" s="193"/>
      <c r="X274" s="193"/>
      <c r="Y274" s="193"/>
    </row>
    <row r="275" spans="2:25" ht="75" hidden="1" customHeight="1" x14ac:dyDescent="0.25">
      <c r="B275" s="187" t="s">
        <v>507</v>
      </c>
      <c r="C275" s="213" t="s">
        <v>566</v>
      </c>
      <c r="D275" s="214"/>
      <c r="E275" s="214"/>
      <c r="F275" s="189" t="s">
        <v>567</v>
      </c>
      <c r="G275" s="209" t="s">
        <v>569</v>
      </c>
      <c r="H275" s="208" t="s">
        <v>67</v>
      </c>
      <c r="I275" s="208">
        <v>4</v>
      </c>
      <c r="J275" s="208">
        <v>14</v>
      </c>
      <c r="K275" s="208" t="s">
        <v>232</v>
      </c>
      <c r="L275" s="205"/>
      <c r="M275" s="193"/>
      <c r="N275" s="193"/>
      <c r="O275" s="193"/>
      <c r="P275" s="193"/>
      <c r="Q275" s="193"/>
      <c r="R275" s="193"/>
      <c r="S275" s="193"/>
      <c r="T275" s="193"/>
      <c r="U275" s="193"/>
      <c r="V275" s="193"/>
      <c r="W275" s="193"/>
      <c r="X275" s="193"/>
      <c r="Y275" s="193"/>
    </row>
    <row r="276" spans="2:25" ht="75" hidden="1" customHeight="1" x14ac:dyDescent="0.25">
      <c r="B276" s="187" t="s">
        <v>507</v>
      </c>
      <c r="C276" s="213" t="s">
        <v>566</v>
      </c>
      <c r="D276" s="214"/>
      <c r="E276" s="214"/>
      <c r="F276" s="189" t="s">
        <v>567</v>
      </c>
      <c r="G276" s="209" t="s">
        <v>570</v>
      </c>
      <c r="H276" s="208" t="s">
        <v>67</v>
      </c>
      <c r="I276" s="208">
        <v>1</v>
      </c>
      <c r="J276" s="208">
        <v>1</v>
      </c>
      <c r="K276" s="210" t="s">
        <v>253</v>
      </c>
      <c r="L276" s="205"/>
      <c r="M276" s="193"/>
      <c r="N276" s="193"/>
      <c r="O276" s="193"/>
      <c r="P276" s="193"/>
      <c r="Q276" s="193"/>
      <c r="R276" s="193"/>
      <c r="S276" s="193"/>
      <c r="T276" s="193"/>
      <c r="U276" s="193"/>
      <c r="V276" s="193"/>
      <c r="W276" s="193"/>
      <c r="X276" s="193"/>
      <c r="Y276" s="193"/>
    </row>
    <row r="277" spans="2:25" ht="31.15" hidden="1" customHeight="1" x14ac:dyDescent="0.25">
      <c r="B277" s="187" t="s">
        <v>507</v>
      </c>
      <c r="C277" s="213" t="s">
        <v>571</v>
      </c>
      <c r="D277" s="214"/>
      <c r="E277" s="214"/>
      <c r="F277" s="207" t="s">
        <v>572</v>
      </c>
      <c r="G277" s="209" t="s">
        <v>573</v>
      </c>
      <c r="H277" s="208" t="s">
        <v>67</v>
      </c>
      <c r="I277" s="208">
        <v>0</v>
      </c>
      <c r="J277" s="208">
        <v>12</v>
      </c>
      <c r="K277" s="208" t="s">
        <v>361</v>
      </c>
      <c r="L277" s="205"/>
      <c r="M277" s="193"/>
      <c r="N277" s="193"/>
      <c r="O277" s="193"/>
      <c r="P277" s="193"/>
      <c r="Q277" s="193"/>
      <c r="R277" s="193"/>
      <c r="S277" s="193"/>
      <c r="T277" s="193"/>
      <c r="U277" s="193"/>
      <c r="V277" s="193"/>
      <c r="W277" s="193"/>
      <c r="X277" s="193"/>
      <c r="Y277" s="193"/>
    </row>
    <row r="278" spans="2:25" ht="45" hidden="1" customHeight="1" x14ac:dyDescent="0.25">
      <c r="B278" s="187" t="s">
        <v>507</v>
      </c>
      <c r="C278" s="213" t="s">
        <v>571</v>
      </c>
      <c r="D278" s="214"/>
      <c r="E278" s="214"/>
      <c r="F278" s="207" t="s">
        <v>572</v>
      </c>
      <c r="G278" s="209" t="s">
        <v>574</v>
      </c>
      <c r="H278" s="208" t="s">
        <v>67</v>
      </c>
      <c r="I278" s="208">
        <v>13636</v>
      </c>
      <c r="J278" s="208">
        <v>14873</v>
      </c>
      <c r="K278" s="208" t="s">
        <v>223</v>
      </c>
      <c r="L278" s="205"/>
      <c r="M278" s="193"/>
      <c r="N278" s="193"/>
      <c r="O278" s="193"/>
      <c r="P278" s="193"/>
      <c r="Q278" s="193"/>
      <c r="R278" s="193"/>
      <c r="S278" s="193"/>
      <c r="T278" s="193"/>
      <c r="U278" s="193"/>
      <c r="V278" s="193"/>
      <c r="W278" s="193"/>
      <c r="X278" s="193"/>
      <c r="Y278" s="193"/>
    </row>
    <row r="279" spans="2:25" ht="45" hidden="1" customHeight="1" x14ac:dyDescent="0.25">
      <c r="B279" s="187" t="s">
        <v>507</v>
      </c>
      <c r="C279" s="213" t="s">
        <v>571</v>
      </c>
      <c r="D279" s="214"/>
      <c r="E279" s="214"/>
      <c r="F279" s="243" t="s">
        <v>572</v>
      </c>
      <c r="G279" s="209" t="s">
        <v>575</v>
      </c>
      <c r="H279" s="208" t="s">
        <v>67</v>
      </c>
      <c r="I279" s="208">
        <v>0</v>
      </c>
      <c r="J279" s="208">
        <v>1</v>
      </c>
      <c r="K279" s="196" t="s">
        <v>225</v>
      </c>
      <c r="L279" s="205"/>
      <c r="M279" s="199"/>
      <c r="N279" s="244"/>
      <c r="O279" s="199">
        <v>1</v>
      </c>
      <c r="P279" s="193"/>
      <c r="Q279" s="193"/>
      <c r="R279" s="193"/>
      <c r="S279" s="193"/>
      <c r="T279" s="193"/>
      <c r="U279" s="193"/>
      <c r="V279" s="193"/>
      <c r="W279" s="193"/>
      <c r="X279" s="193"/>
      <c r="Y279" s="193"/>
    </row>
    <row r="280" spans="2:25" ht="52.5" hidden="1" customHeight="1" x14ac:dyDescent="0.2">
      <c r="B280" s="222" t="s">
        <v>576</v>
      </c>
      <c r="C280" s="187" t="s">
        <v>577</v>
      </c>
      <c r="D280" s="188"/>
      <c r="E280" s="188"/>
      <c r="F280" s="189" t="s">
        <v>578</v>
      </c>
      <c r="G280" s="209" t="s">
        <v>579</v>
      </c>
      <c r="H280" s="208" t="s">
        <v>580</v>
      </c>
      <c r="I280" s="208">
        <v>45</v>
      </c>
      <c r="J280" s="208">
        <v>50</v>
      </c>
      <c r="K280" s="208" t="s">
        <v>255</v>
      </c>
      <c r="L280" s="205"/>
      <c r="M280" s="193"/>
      <c r="N280" s="193"/>
      <c r="O280" s="193"/>
      <c r="P280" s="193"/>
      <c r="Q280" s="193"/>
      <c r="R280" s="193"/>
      <c r="S280" s="193"/>
      <c r="T280" s="193"/>
      <c r="U280" s="193"/>
      <c r="V280" s="193"/>
      <c r="W280" s="193"/>
      <c r="X280" s="193"/>
      <c r="Y280" s="193"/>
    </row>
    <row r="281" spans="2:25" ht="45" hidden="1" customHeight="1" x14ac:dyDescent="0.2">
      <c r="B281" s="222" t="s">
        <v>576</v>
      </c>
      <c r="C281" s="187" t="s">
        <v>577</v>
      </c>
      <c r="D281" s="188"/>
      <c r="E281" s="188"/>
      <c r="F281" s="189" t="s">
        <v>578</v>
      </c>
      <c r="G281" s="209" t="s">
        <v>581</v>
      </c>
      <c r="H281" s="208" t="s">
        <v>580</v>
      </c>
      <c r="I281" s="208">
        <v>9</v>
      </c>
      <c r="J281" s="208">
        <v>12</v>
      </c>
      <c r="K281" s="208" t="s">
        <v>255</v>
      </c>
      <c r="L281" s="205"/>
      <c r="M281" s="193"/>
      <c r="N281" s="193"/>
      <c r="O281" s="193"/>
      <c r="P281" s="193"/>
      <c r="Q281" s="193"/>
      <c r="R281" s="193"/>
      <c r="S281" s="193"/>
      <c r="T281" s="193"/>
      <c r="U281" s="193"/>
      <c r="V281" s="193"/>
      <c r="W281" s="193"/>
      <c r="X281" s="193"/>
      <c r="Y281" s="193"/>
    </row>
    <row r="282" spans="2:25" ht="45" hidden="1" customHeight="1" x14ac:dyDescent="0.2">
      <c r="B282" s="222" t="s">
        <v>576</v>
      </c>
      <c r="C282" s="187" t="s">
        <v>577</v>
      </c>
      <c r="D282" s="188"/>
      <c r="E282" s="188"/>
      <c r="F282" s="189" t="s">
        <v>578</v>
      </c>
      <c r="G282" s="209" t="s">
        <v>582</v>
      </c>
      <c r="H282" s="208" t="s">
        <v>580</v>
      </c>
      <c r="I282" s="208">
        <v>2</v>
      </c>
      <c r="J282" s="208">
        <v>7</v>
      </c>
      <c r="K282" s="208" t="s">
        <v>255</v>
      </c>
      <c r="L282" s="205"/>
      <c r="M282" s="193"/>
      <c r="N282" s="193"/>
      <c r="O282" s="193"/>
      <c r="P282" s="193"/>
      <c r="Q282" s="193"/>
      <c r="R282" s="193"/>
      <c r="S282" s="193"/>
      <c r="T282" s="193"/>
      <c r="U282" s="193"/>
      <c r="V282" s="193"/>
      <c r="W282" s="193"/>
      <c r="X282" s="193"/>
      <c r="Y282" s="193"/>
    </row>
    <row r="283" spans="2:25" ht="90" hidden="1" customHeight="1" x14ac:dyDescent="0.2">
      <c r="B283" s="222" t="s">
        <v>576</v>
      </c>
      <c r="C283" s="187" t="s">
        <v>577</v>
      </c>
      <c r="D283" s="188"/>
      <c r="E283" s="188"/>
      <c r="F283" s="189" t="s">
        <v>578</v>
      </c>
      <c r="G283" s="209" t="s">
        <v>583</v>
      </c>
      <c r="H283" s="208" t="s">
        <v>580</v>
      </c>
      <c r="I283" s="208">
        <v>168</v>
      </c>
      <c r="J283" s="208">
        <v>2</v>
      </c>
      <c r="K283" s="208" t="s">
        <v>255</v>
      </c>
      <c r="L283" s="205"/>
      <c r="M283" s="193"/>
      <c r="N283" s="193"/>
      <c r="O283" s="193"/>
      <c r="P283" s="193"/>
      <c r="Q283" s="193"/>
      <c r="R283" s="193"/>
      <c r="S283" s="193"/>
      <c r="T283" s="193"/>
      <c r="U283" s="193"/>
      <c r="V283" s="193"/>
      <c r="W283" s="193"/>
      <c r="X283" s="193"/>
      <c r="Y283" s="193"/>
    </row>
    <row r="284" spans="2:25" ht="45" hidden="1" customHeight="1" x14ac:dyDescent="0.2">
      <c r="B284" s="222" t="s">
        <v>576</v>
      </c>
      <c r="C284" s="187" t="s">
        <v>577</v>
      </c>
      <c r="D284" s="188"/>
      <c r="E284" s="188"/>
      <c r="F284" s="189" t="s">
        <v>584</v>
      </c>
      <c r="G284" s="209" t="s">
        <v>585</v>
      </c>
      <c r="H284" s="208" t="s">
        <v>67</v>
      </c>
      <c r="I284" s="208">
        <v>1</v>
      </c>
      <c r="J284" s="208">
        <v>16</v>
      </c>
      <c r="K284" s="208" t="s">
        <v>255</v>
      </c>
      <c r="L284" s="205"/>
      <c r="M284" s="193"/>
      <c r="N284" s="193"/>
      <c r="O284" s="193"/>
      <c r="P284" s="193"/>
      <c r="Q284" s="193"/>
      <c r="R284" s="193"/>
      <c r="S284" s="193"/>
      <c r="T284" s="193"/>
      <c r="U284" s="193"/>
      <c r="V284" s="193"/>
      <c r="W284" s="193"/>
      <c r="X284" s="193"/>
      <c r="Y284" s="193"/>
    </row>
    <row r="285" spans="2:25" ht="75" hidden="1" customHeight="1" x14ac:dyDescent="0.2">
      <c r="B285" s="222" t="s">
        <v>576</v>
      </c>
      <c r="C285" s="187" t="s">
        <v>577</v>
      </c>
      <c r="D285" s="188"/>
      <c r="E285" s="188"/>
      <c r="F285" s="189" t="s">
        <v>584</v>
      </c>
      <c r="G285" s="209" t="s">
        <v>586</v>
      </c>
      <c r="H285" s="208" t="s">
        <v>67</v>
      </c>
      <c r="I285" s="208">
        <v>2</v>
      </c>
      <c r="J285" s="208">
        <v>7</v>
      </c>
      <c r="K285" s="208" t="s">
        <v>255</v>
      </c>
      <c r="L285" s="205"/>
      <c r="M285" s="193"/>
      <c r="N285" s="193"/>
      <c r="O285" s="193"/>
      <c r="P285" s="193"/>
      <c r="Q285" s="193"/>
      <c r="R285" s="193"/>
      <c r="S285" s="193"/>
      <c r="T285" s="193"/>
      <c r="U285" s="193"/>
      <c r="V285" s="193"/>
      <c r="W285" s="193"/>
      <c r="X285" s="193"/>
      <c r="Y285" s="193"/>
    </row>
    <row r="286" spans="2:25" ht="60" hidden="1" customHeight="1" x14ac:dyDescent="0.2">
      <c r="B286" s="222" t="s">
        <v>576</v>
      </c>
      <c r="C286" s="187" t="s">
        <v>577</v>
      </c>
      <c r="D286" s="188"/>
      <c r="E286" s="188"/>
      <c r="F286" s="189" t="s">
        <v>584</v>
      </c>
      <c r="G286" s="209" t="s">
        <v>587</v>
      </c>
      <c r="H286" s="208" t="s">
        <v>240</v>
      </c>
      <c r="I286" s="221">
        <v>2598</v>
      </c>
      <c r="J286" s="221">
        <v>5500</v>
      </c>
      <c r="K286" s="208" t="s">
        <v>255</v>
      </c>
      <c r="L286" s="205"/>
      <c r="M286" s="193"/>
      <c r="N286" s="193"/>
      <c r="O286" s="193"/>
      <c r="P286" s="193"/>
      <c r="Q286" s="193"/>
      <c r="R286" s="193"/>
      <c r="S286" s="193"/>
      <c r="T286" s="193"/>
      <c r="U286" s="193"/>
      <c r="V286" s="193"/>
      <c r="W286" s="193"/>
      <c r="X286" s="193"/>
      <c r="Y286" s="193"/>
    </row>
    <row r="287" spans="2:25" ht="60" hidden="1" customHeight="1" x14ac:dyDescent="0.2">
      <c r="B287" s="222" t="s">
        <v>576</v>
      </c>
      <c r="C287" s="187" t="s">
        <v>577</v>
      </c>
      <c r="D287" s="188"/>
      <c r="E287" s="188"/>
      <c r="F287" s="189" t="s">
        <v>584</v>
      </c>
      <c r="G287" s="209" t="s">
        <v>588</v>
      </c>
      <c r="H287" s="208" t="s">
        <v>240</v>
      </c>
      <c r="I287" s="221">
        <v>2598</v>
      </c>
      <c r="J287" s="221">
        <v>2598</v>
      </c>
      <c r="K287" s="208" t="s">
        <v>255</v>
      </c>
      <c r="L287" s="205"/>
      <c r="M287" s="193"/>
      <c r="N287" s="193"/>
      <c r="O287" s="193"/>
      <c r="P287" s="193"/>
      <c r="Q287" s="193"/>
      <c r="R287" s="193"/>
      <c r="S287" s="193"/>
      <c r="T287" s="193"/>
      <c r="U287" s="193"/>
      <c r="V287" s="193"/>
      <c r="W287" s="193"/>
      <c r="X287" s="193"/>
      <c r="Y287" s="193"/>
    </row>
    <row r="288" spans="2:25" ht="120" hidden="1" customHeight="1" x14ac:dyDescent="0.2">
      <c r="B288" s="222" t="s">
        <v>576</v>
      </c>
      <c r="C288" s="187" t="s">
        <v>577</v>
      </c>
      <c r="D288" s="188"/>
      <c r="E288" s="188"/>
      <c r="F288" s="189" t="s">
        <v>584</v>
      </c>
      <c r="G288" s="209" t="s">
        <v>589</v>
      </c>
      <c r="H288" s="208" t="s">
        <v>67</v>
      </c>
      <c r="I288" s="208">
        <v>0</v>
      </c>
      <c r="J288" s="208">
        <v>9</v>
      </c>
      <c r="K288" s="208" t="s">
        <v>255</v>
      </c>
      <c r="L288" s="205"/>
      <c r="M288" s="193"/>
      <c r="N288" s="193"/>
      <c r="O288" s="193"/>
      <c r="P288" s="193"/>
      <c r="Q288" s="193"/>
      <c r="R288" s="193"/>
      <c r="S288" s="193"/>
      <c r="T288" s="193"/>
      <c r="U288" s="193"/>
      <c r="V288" s="193"/>
      <c r="W288" s="193"/>
      <c r="X288" s="193"/>
      <c r="Y288" s="193"/>
    </row>
    <row r="289" spans="2:25" ht="45" hidden="1" customHeight="1" x14ac:dyDescent="0.2">
      <c r="B289" s="222" t="s">
        <v>576</v>
      </c>
      <c r="C289" s="187" t="s">
        <v>590</v>
      </c>
      <c r="D289" s="188"/>
      <c r="E289" s="188"/>
      <c r="F289" s="189" t="s">
        <v>591</v>
      </c>
      <c r="G289" s="209" t="s">
        <v>592</v>
      </c>
      <c r="H289" s="208" t="s">
        <v>593</v>
      </c>
      <c r="I289" s="208">
        <v>3</v>
      </c>
      <c r="J289" s="208">
        <v>6</v>
      </c>
      <c r="K289" s="208" t="s">
        <v>255</v>
      </c>
      <c r="L289" s="205"/>
      <c r="M289" s="193"/>
      <c r="N289" s="193"/>
      <c r="O289" s="193"/>
      <c r="P289" s="193"/>
      <c r="Q289" s="193"/>
      <c r="R289" s="193"/>
      <c r="S289" s="193"/>
      <c r="T289" s="193"/>
      <c r="U289" s="193"/>
      <c r="V289" s="193"/>
      <c r="W289" s="193"/>
      <c r="X289" s="193"/>
      <c r="Y289" s="193"/>
    </row>
    <row r="290" spans="2:25" ht="45" hidden="1" customHeight="1" x14ac:dyDescent="0.2">
      <c r="B290" s="222" t="s">
        <v>576</v>
      </c>
      <c r="C290" s="187" t="s">
        <v>590</v>
      </c>
      <c r="D290" s="188"/>
      <c r="E290" s="188"/>
      <c r="F290" s="189" t="s">
        <v>591</v>
      </c>
      <c r="G290" s="209" t="s">
        <v>594</v>
      </c>
      <c r="H290" s="208" t="s">
        <v>593</v>
      </c>
      <c r="I290" s="208">
        <v>0.5</v>
      </c>
      <c r="J290" s="208">
        <v>7</v>
      </c>
      <c r="K290" s="208" t="s">
        <v>255</v>
      </c>
      <c r="L290" s="205"/>
      <c r="M290" s="193"/>
      <c r="N290" s="193"/>
      <c r="O290" s="193"/>
      <c r="P290" s="193"/>
      <c r="Q290" s="193"/>
      <c r="R290" s="193"/>
      <c r="S290" s="193"/>
      <c r="T290" s="193"/>
      <c r="U290" s="193"/>
      <c r="V290" s="193"/>
      <c r="W290" s="193"/>
      <c r="X290" s="193"/>
      <c r="Y290" s="193"/>
    </row>
    <row r="291" spans="2:25" ht="45" hidden="1" customHeight="1" x14ac:dyDescent="0.2">
      <c r="B291" s="222" t="s">
        <v>576</v>
      </c>
      <c r="C291" s="187" t="s">
        <v>590</v>
      </c>
      <c r="D291" s="188"/>
      <c r="E291" s="188"/>
      <c r="F291" s="189" t="s">
        <v>591</v>
      </c>
      <c r="G291" s="209" t="s">
        <v>595</v>
      </c>
      <c r="H291" s="208" t="s">
        <v>593</v>
      </c>
      <c r="I291" s="208">
        <v>13</v>
      </c>
      <c r="J291" s="208">
        <v>5.5</v>
      </c>
      <c r="K291" s="208" t="s">
        <v>255</v>
      </c>
      <c r="L291" s="205"/>
      <c r="M291" s="193"/>
      <c r="N291" s="193"/>
      <c r="O291" s="193"/>
      <c r="P291" s="193"/>
      <c r="Q291" s="193"/>
      <c r="R291" s="193"/>
      <c r="S291" s="193"/>
      <c r="T291" s="193"/>
      <c r="U291" s="193"/>
      <c r="V291" s="193"/>
      <c r="W291" s="193"/>
      <c r="X291" s="193"/>
      <c r="Y291" s="193"/>
    </row>
    <row r="292" spans="2:25" ht="60" hidden="1" customHeight="1" x14ac:dyDescent="0.2">
      <c r="B292" s="222" t="s">
        <v>576</v>
      </c>
      <c r="C292" s="187" t="s">
        <v>590</v>
      </c>
      <c r="D292" s="188"/>
      <c r="E292" s="188"/>
      <c r="F292" s="189" t="s">
        <v>591</v>
      </c>
      <c r="G292" s="209" t="s">
        <v>596</v>
      </c>
      <c r="H292" s="208" t="s">
        <v>597</v>
      </c>
      <c r="I292" s="208">
        <v>0</v>
      </c>
      <c r="J292" s="208">
        <v>1</v>
      </c>
      <c r="K292" s="208" t="s">
        <v>255</v>
      </c>
      <c r="L292" s="205"/>
      <c r="M292" s="193"/>
      <c r="N292" s="193"/>
      <c r="O292" s="193"/>
      <c r="P292" s="193"/>
      <c r="Q292" s="193"/>
      <c r="R292" s="193"/>
      <c r="S292" s="193"/>
      <c r="T292" s="193"/>
      <c r="U292" s="193"/>
      <c r="V292" s="193"/>
      <c r="W292" s="193"/>
      <c r="X292" s="193"/>
      <c r="Y292" s="193"/>
    </row>
    <row r="293" spans="2:25" ht="45" hidden="1" customHeight="1" x14ac:dyDescent="0.2">
      <c r="B293" s="222" t="s">
        <v>576</v>
      </c>
      <c r="C293" s="187" t="s">
        <v>590</v>
      </c>
      <c r="D293" s="188"/>
      <c r="E293" s="188"/>
      <c r="F293" s="189" t="s">
        <v>598</v>
      </c>
      <c r="G293" s="209" t="s">
        <v>599</v>
      </c>
      <c r="H293" s="208" t="s">
        <v>67</v>
      </c>
      <c r="I293" s="208">
        <v>0</v>
      </c>
      <c r="J293" s="208">
        <v>1</v>
      </c>
      <c r="K293" s="208" t="s">
        <v>255</v>
      </c>
      <c r="L293" s="205"/>
      <c r="M293" s="193"/>
      <c r="N293" s="193"/>
      <c r="O293" s="193"/>
      <c r="P293" s="193"/>
      <c r="Q293" s="193"/>
      <c r="R293" s="193"/>
      <c r="S293" s="193"/>
      <c r="T293" s="193"/>
      <c r="U293" s="193"/>
      <c r="V293" s="193"/>
      <c r="W293" s="193"/>
      <c r="X293" s="193"/>
      <c r="Y293" s="193"/>
    </row>
    <row r="294" spans="2:25" ht="60" hidden="1" customHeight="1" x14ac:dyDescent="0.2">
      <c r="B294" s="222" t="s">
        <v>576</v>
      </c>
      <c r="C294" s="187" t="s">
        <v>590</v>
      </c>
      <c r="D294" s="188"/>
      <c r="E294" s="188"/>
      <c r="F294" s="189" t="s">
        <v>598</v>
      </c>
      <c r="G294" s="209" t="s">
        <v>600</v>
      </c>
      <c r="H294" s="208" t="s">
        <v>601</v>
      </c>
      <c r="I294" s="208">
        <v>0</v>
      </c>
      <c r="J294" s="221">
        <v>8000</v>
      </c>
      <c r="K294" s="208" t="s">
        <v>255</v>
      </c>
      <c r="L294" s="205"/>
      <c r="M294" s="193"/>
      <c r="N294" s="193"/>
      <c r="O294" s="193"/>
      <c r="P294" s="193"/>
      <c r="Q294" s="193"/>
      <c r="R294" s="193"/>
      <c r="S294" s="193"/>
      <c r="T294" s="193"/>
      <c r="U294" s="193"/>
      <c r="V294" s="193"/>
      <c r="W294" s="193"/>
      <c r="X294" s="193"/>
      <c r="Y294" s="193"/>
    </row>
    <row r="295" spans="2:25" ht="45" hidden="1" customHeight="1" x14ac:dyDescent="0.2">
      <c r="B295" s="222" t="s">
        <v>576</v>
      </c>
      <c r="C295" s="187" t="s">
        <v>590</v>
      </c>
      <c r="D295" s="188"/>
      <c r="E295" s="188"/>
      <c r="F295" s="189" t="s">
        <v>598</v>
      </c>
      <c r="G295" s="209" t="s">
        <v>602</v>
      </c>
      <c r="H295" s="208" t="s">
        <v>603</v>
      </c>
      <c r="I295" s="208">
        <v>0</v>
      </c>
      <c r="J295" s="221">
        <v>3000</v>
      </c>
      <c r="K295" s="208" t="s">
        <v>255</v>
      </c>
      <c r="L295" s="205"/>
      <c r="M295" s="193"/>
      <c r="N295" s="193"/>
      <c r="O295" s="193"/>
      <c r="P295" s="193"/>
      <c r="Q295" s="193"/>
      <c r="R295" s="193"/>
      <c r="S295" s="193"/>
      <c r="T295" s="193"/>
      <c r="U295" s="193"/>
      <c r="V295" s="193"/>
      <c r="W295" s="193"/>
      <c r="X295" s="193"/>
      <c r="Y295" s="193"/>
    </row>
    <row r="296" spans="2:25" ht="31.15" hidden="1" customHeight="1" x14ac:dyDescent="0.2">
      <c r="B296" s="222" t="s">
        <v>576</v>
      </c>
      <c r="C296" s="187" t="s">
        <v>590</v>
      </c>
      <c r="D296" s="188"/>
      <c r="E296" s="188"/>
      <c r="F296" s="189" t="s">
        <v>598</v>
      </c>
      <c r="G296" s="209" t="s">
        <v>604</v>
      </c>
      <c r="H296" s="208" t="s">
        <v>603</v>
      </c>
      <c r="I296" s="221">
        <v>20000</v>
      </c>
      <c r="J296" s="221">
        <v>5000</v>
      </c>
      <c r="K296" s="208" t="s">
        <v>255</v>
      </c>
      <c r="L296" s="205"/>
      <c r="M296" s="193"/>
      <c r="N296" s="193"/>
      <c r="O296" s="193"/>
      <c r="P296" s="193"/>
      <c r="Q296" s="193"/>
      <c r="R296" s="193"/>
      <c r="S296" s="193"/>
      <c r="T296" s="193"/>
      <c r="U296" s="193"/>
      <c r="V296" s="193"/>
      <c r="W296" s="193"/>
      <c r="X296" s="193"/>
      <c r="Y296" s="193"/>
    </row>
    <row r="297" spans="2:25" ht="31.15" hidden="1" customHeight="1" x14ac:dyDescent="0.2">
      <c r="B297" s="222" t="s">
        <v>576</v>
      </c>
      <c r="C297" s="187" t="s">
        <v>605</v>
      </c>
      <c r="D297" s="188"/>
      <c r="E297" s="188"/>
      <c r="F297" s="189" t="s">
        <v>606</v>
      </c>
      <c r="G297" s="209" t="s">
        <v>607</v>
      </c>
      <c r="H297" s="208" t="s">
        <v>67</v>
      </c>
      <c r="I297" s="208">
        <v>0</v>
      </c>
      <c r="J297" s="208">
        <v>1</v>
      </c>
      <c r="K297" s="208" t="s">
        <v>608</v>
      </c>
      <c r="L297" s="205"/>
      <c r="M297" s="193"/>
      <c r="N297" s="193"/>
      <c r="O297" s="193"/>
      <c r="P297" s="193"/>
      <c r="Q297" s="193"/>
      <c r="R297" s="193"/>
      <c r="S297" s="193"/>
      <c r="T297" s="193"/>
      <c r="U297" s="193"/>
      <c r="V297" s="193"/>
      <c r="W297" s="193"/>
      <c r="X297" s="193"/>
      <c r="Y297" s="193"/>
    </row>
    <row r="298" spans="2:25" ht="60" hidden="1" customHeight="1" x14ac:dyDescent="0.2">
      <c r="B298" s="222" t="s">
        <v>576</v>
      </c>
      <c r="C298" s="187" t="s">
        <v>605</v>
      </c>
      <c r="D298" s="188"/>
      <c r="E298" s="188"/>
      <c r="F298" s="189" t="s">
        <v>606</v>
      </c>
      <c r="G298" s="209" t="s">
        <v>609</v>
      </c>
      <c r="H298" s="208" t="s">
        <v>67</v>
      </c>
      <c r="I298" s="208">
        <v>4</v>
      </c>
      <c r="J298" s="208">
        <v>8</v>
      </c>
      <c r="K298" s="208" t="s">
        <v>255</v>
      </c>
      <c r="L298" s="205"/>
      <c r="M298" s="193"/>
      <c r="N298" s="193"/>
      <c r="O298" s="193"/>
      <c r="P298" s="193"/>
      <c r="Q298" s="193"/>
      <c r="R298" s="193"/>
      <c r="S298" s="193"/>
      <c r="T298" s="193"/>
      <c r="U298" s="193"/>
      <c r="V298" s="193"/>
      <c r="W298" s="193"/>
      <c r="X298" s="193"/>
      <c r="Y298" s="193"/>
    </row>
    <row r="299" spans="2:25" ht="31.15" hidden="1" customHeight="1" x14ac:dyDescent="0.2">
      <c r="B299" s="222" t="s">
        <v>576</v>
      </c>
      <c r="C299" s="187" t="s">
        <v>605</v>
      </c>
      <c r="D299" s="188"/>
      <c r="E299" s="188"/>
      <c r="F299" s="189" t="s">
        <v>610</v>
      </c>
      <c r="G299" s="209" t="s">
        <v>611</v>
      </c>
      <c r="H299" s="208" t="s">
        <v>67</v>
      </c>
      <c r="I299" s="208" t="s">
        <v>612</v>
      </c>
      <c r="J299" s="208">
        <v>1</v>
      </c>
      <c r="K299" s="208" t="s">
        <v>255</v>
      </c>
      <c r="L299" s="205"/>
      <c r="M299" s="193"/>
      <c r="N299" s="193"/>
      <c r="O299" s="193"/>
      <c r="P299" s="193"/>
      <c r="Q299" s="193"/>
      <c r="R299" s="193"/>
      <c r="S299" s="193"/>
      <c r="T299" s="193"/>
      <c r="U299" s="193"/>
      <c r="V299" s="193"/>
      <c r="W299" s="193"/>
      <c r="X299" s="193"/>
      <c r="Y299" s="193"/>
    </row>
    <row r="300" spans="2:25" ht="31.15" hidden="1" customHeight="1" x14ac:dyDescent="0.2">
      <c r="B300" s="222" t="s">
        <v>576</v>
      </c>
      <c r="C300" s="187" t="s">
        <v>605</v>
      </c>
      <c r="D300" s="188"/>
      <c r="E300" s="188"/>
      <c r="F300" s="189" t="s">
        <v>610</v>
      </c>
      <c r="G300" s="209" t="s">
        <v>613</v>
      </c>
      <c r="H300" s="208" t="s">
        <v>67</v>
      </c>
      <c r="I300" s="208">
        <v>0</v>
      </c>
      <c r="J300" s="208">
        <v>1</v>
      </c>
      <c r="K300" s="208" t="s">
        <v>255</v>
      </c>
      <c r="L300" s="205"/>
      <c r="M300" s="193"/>
      <c r="N300" s="193"/>
      <c r="O300" s="193"/>
      <c r="P300" s="193"/>
      <c r="Q300" s="193"/>
      <c r="R300" s="193"/>
      <c r="S300" s="193"/>
      <c r="T300" s="193"/>
      <c r="U300" s="193"/>
      <c r="V300" s="193"/>
      <c r="W300" s="193"/>
      <c r="X300" s="193"/>
      <c r="Y300" s="193"/>
    </row>
    <row r="301" spans="2:25" ht="60" hidden="1" customHeight="1" x14ac:dyDescent="0.2">
      <c r="B301" s="222" t="s">
        <v>576</v>
      </c>
      <c r="C301" s="187" t="s">
        <v>605</v>
      </c>
      <c r="D301" s="188"/>
      <c r="E301" s="188"/>
      <c r="F301" s="189" t="s">
        <v>610</v>
      </c>
      <c r="G301" s="209" t="s">
        <v>614</v>
      </c>
      <c r="H301" s="208" t="s">
        <v>67</v>
      </c>
      <c r="I301" s="208">
        <v>0</v>
      </c>
      <c r="J301" s="208">
        <v>1</v>
      </c>
      <c r="K301" s="208" t="s">
        <v>255</v>
      </c>
      <c r="L301" s="205"/>
      <c r="M301" s="193"/>
      <c r="N301" s="193"/>
      <c r="O301" s="193"/>
      <c r="P301" s="193"/>
      <c r="Q301" s="193"/>
      <c r="R301" s="193"/>
      <c r="S301" s="193"/>
      <c r="T301" s="193"/>
      <c r="U301" s="193"/>
      <c r="V301" s="193"/>
      <c r="W301" s="193"/>
      <c r="X301" s="193"/>
      <c r="Y301" s="193"/>
    </row>
    <row r="302" spans="2:25" ht="60" hidden="1" customHeight="1" x14ac:dyDescent="0.2">
      <c r="B302" s="222" t="s">
        <v>576</v>
      </c>
      <c r="C302" s="187" t="s">
        <v>605</v>
      </c>
      <c r="D302" s="188"/>
      <c r="E302" s="188"/>
      <c r="F302" s="189" t="s">
        <v>610</v>
      </c>
      <c r="G302" s="209" t="s">
        <v>615</v>
      </c>
      <c r="H302" s="208" t="s">
        <v>67</v>
      </c>
      <c r="I302" s="221">
        <v>24230</v>
      </c>
      <c r="J302" s="221">
        <v>24230</v>
      </c>
      <c r="K302" s="208" t="s">
        <v>255</v>
      </c>
      <c r="L302" s="205"/>
      <c r="M302" s="193"/>
      <c r="N302" s="193"/>
      <c r="O302" s="193"/>
      <c r="P302" s="193"/>
      <c r="Q302" s="193"/>
      <c r="R302" s="193"/>
      <c r="S302" s="193"/>
      <c r="T302" s="193"/>
      <c r="U302" s="193"/>
      <c r="V302" s="193"/>
      <c r="W302" s="193"/>
      <c r="X302" s="193"/>
      <c r="Y302" s="193"/>
    </row>
    <row r="303" spans="2:25" ht="31.15" hidden="1" customHeight="1" x14ac:dyDescent="0.2">
      <c r="B303" s="222" t="s">
        <v>576</v>
      </c>
      <c r="C303" s="187" t="s">
        <v>605</v>
      </c>
      <c r="D303" s="188"/>
      <c r="E303" s="188"/>
      <c r="F303" s="189" t="s">
        <v>610</v>
      </c>
      <c r="G303" s="209" t="s">
        <v>616</v>
      </c>
      <c r="H303" s="208" t="s">
        <v>67</v>
      </c>
      <c r="I303" s="208">
        <v>0</v>
      </c>
      <c r="J303" s="208">
        <v>1</v>
      </c>
      <c r="K303" s="208" t="s">
        <v>255</v>
      </c>
      <c r="L303" s="205"/>
      <c r="M303" s="193"/>
      <c r="N303" s="193"/>
      <c r="O303" s="193"/>
      <c r="P303" s="193"/>
      <c r="Q303" s="193"/>
      <c r="R303" s="193"/>
      <c r="S303" s="193"/>
      <c r="T303" s="193"/>
      <c r="U303" s="193"/>
      <c r="V303" s="193"/>
      <c r="W303" s="193"/>
      <c r="X303" s="193"/>
      <c r="Y303" s="193"/>
    </row>
    <row r="304" spans="2:25" ht="31.15" hidden="1" customHeight="1" x14ac:dyDescent="0.2">
      <c r="B304" s="222" t="s">
        <v>576</v>
      </c>
      <c r="C304" s="187" t="s">
        <v>605</v>
      </c>
      <c r="D304" s="188"/>
      <c r="E304" s="188"/>
      <c r="F304" s="189" t="s">
        <v>610</v>
      </c>
      <c r="G304" s="209" t="s">
        <v>617</v>
      </c>
      <c r="H304" s="208" t="s">
        <v>601</v>
      </c>
      <c r="I304" s="208">
        <v>532</v>
      </c>
      <c r="J304" s="221">
        <v>1800</v>
      </c>
      <c r="K304" s="208" t="s">
        <v>255</v>
      </c>
      <c r="L304" s="205"/>
      <c r="M304" s="193"/>
      <c r="N304" s="193"/>
      <c r="O304" s="193"/>
      <c r="P304" s="193"/>
      <c r="Q304" s="193"/>
      <c r="R304" s="193"/>
      <c r="S304" s="193"/>
      <c r="T304" s="193"/>
      <c r="U304" s="193"/>
      <c r="V304" s="193"/>
      <c r="W304" s="193"/>
      <c r="X304" s="193"/>
      <c r="Y304" s="193"/>
    </row>
    <row r="305" spans="2:25" ht="45" hidden="1" customHeight="1" x14ac:dyDescent="0.2">
      <c r="B305" s="222" t="s">
        <v>576</v>
      </c>
      <c r="C305" s="187" t="s">
        <v>605</v>
      </c>
      <c r="D305" s="188"/>
      <c r="E305" s="188"/>
      <c r="F305" s="189" t="s">
        <v>610</v>
      </c>
      <c r="G305" s="209" t="s">
        <v>618</v>
      </c>
      <c r="H305" s="208" t="s">
        <v>601</v>
      </c>
      <c r="I305" s="208">
        <v>75</v>
      </c>
      <c r="J305" s="221">
        <v>1800</v>
      </c>
      <c r="K305" s="208" t="s">
        <v>255</v>
      </c>
      <c r="L305" s="205"/>
      <c r="M305" s="193"/>
      <c r="N305" s="193"/>
      <c r="O305" s="193"/>
      <c r="P305" s="193"/>
      <c r="Q305" s="193"/>
      <c r="R305" s="193"/>
      <c r="S305" s="193"/>
      <c r="T305" s="193"/>
      <c r="U305" s="193"/>
      <c r="V305" s="193"/>
      <c r="W305" s="193"/>
      <c r="X305" s="193"/>
      <c r="Y305" s="193"/>
    </row>
    <row r="306" spans="2:25" ht="60" hidden="1" customHeight="1" x14ac:dyDescent="0.2">
      <c r="B306" s="222" t="s">
        <v>576</v>
      </c>
      <c r="C306" s="187" t="s">
        <v>605</v>
      </c>
      <c r="D306" s="188"/>
      <c r="E306" s="188"/>
      <c r="F306" s="189" t="s">
        <v>610</v>
      </c>
      <c r="G306" s="209" t="s">
        <v>619</v>
      </c>
      <c r="H306" s="208" t="s">
        <v>67</v>
      </c>
      <c r="I306" s="208">
        <v>5</v>
      </c>
      <c r="J306" s="208">
        <v>3</v>
      </c>
      <c r="K306" s="208" t="s">
        <v>255</v>
      </c>
      <c r="L306" s="205"/>
      <c r="M306" s="193"/>
      <c r="N306" s="193"/>
      <c r="O306" s="193"/>
      <c r="P306" s="193"/>
      <c r="Q306" s="193"/>
      <c r="R306" s="193"/>
      <c r="S306" s="193"/>
      <c r="T306" s="193"/>
      <c r="U306" s="193"/>
      <c r="V306" s="193"/>
      <c r="W306" s="193"/>
      <c r="X306" s="193"/>
      <c r="Y306" s="193"/>
    </row>
    <row r="307" spans="2:25" ht="75" hidden="1" customHeight="1" x14ac:dyDescent="0.2">
      <c r="B307" s="222" t="s">
        <v>576</v>
      </c>
      <c r="C307" s="187" t="s">
        <v>605</v>
      </c>
      <c r="D307" s="188"/>
      <c r="E307" s="188"/>
      <c r="F307" s="189" t="s">
        <v>610</v>
      </c>
      <c r="G307" s="209" t="s">
        <v>620</v>
      </c>
      <c r="H307" s="208" t="s">
        <v>601</v>
      </c>
      <c r="I307" s="208">
        <v>0</v>
      </c>
      <c r="J307" s="221">
        <v>2000</v>
      </c>
      <c r="K307" s="208" t="s">
        <v>255</v>
      </c>
      <c r="L307" s="205"/>
      <c r="M307" s="193"/>
      <c r="N307" s="193"/>
      <c r="O307" s="193"/>
      <c r="P307" s="193"/>
      <c r="Q307" s="193"/>
      <c r="R307" s="193"/>
      <c r="S307" s="193"/>
      <c r="T307" s="193"/>
      <c r="U307" s="193"/>
      <c r="V307" s="193"/>
      <c r="W307" s="193"/>
      <c r="X307" s="193"/>
      <c r="Y307" s="193"/>
    </row>
    <row r="308" spans="2:25" ht="45" hidden="1" customHeight="1" x14ac:dyDescent="0.2">
      <c r="B308" s="222" t="s">
        <v>576</v>
      </c>
      <c r="C308" s="187" t="s">
        <v>605</v>
      </c>
      <c r="D308" s="188"/>
      <c r="E308" s="188"/>
      <c r="F308" s="216" t="s">
        <v>621</v>
      </c>
      <c r="G308" s="209" t="s">
        <v>622</v>
      </c>
      <c r="H308" s="208" t="s">
        <v>601</v>
      </c>
      <c r="I308" s="221">
        <v>4090</v>
      </c>
      <c r="J308" s="221">
        <v>15000</v>
      </c>
      <c r="K308" s="208" t="s">
        <v>255</v>
      </c>
      <c r="L308" s="205"/>
      <c r="M308" s="193"/>
      <c r="N308" s="193"/>
      <c r="O308" s="193"/>
      <c r="P308" s="193"/>
      <c r="Q308" s="193"/>
      <c r="R308" s="193"/>
      <c r="S308" s="193"/>
      <c r="T308" s="193"/>
      <c r="U308" s="193"/>
      <c r="V308" s="193"/>
      <c r="W308" s="193"/>
      <c r="X308" s="193"/>
      <c r="Y308" s="193"/>
    </row>
    <row r="309" spans="2:25" ht="45" hidden="1" customHeight="1" x14ac:dyDescent="0.2">
      <c r="B309" s="222" t="s">
        <v>576</v>
      </c>
      <c r="C309" s="187" t="s">
        <v>605</v>
      </c>
      <c r="D309" s="188"/>
      <c r="E309" s="188"/>
      <c r="F309" s="216" t="s">
        <v>621</v>
      </c>
      <c r="G309" s="209" t="s">
        <v>623</v>
      </c>
      <c r="H309" s="208" t="s">
        <v>601</v>
      </c>
      <c r="I309" s="221">
        <v>5760</v>
      </c>
      <c r="J309" s="221">
        <v>5700</v>
      </c>
      <c r="K309" s="208" t="s">
        <v>608</v>
      </c>
      <c r="L309" s="205"/>
      <c r="M309" s="193"/>
      <c r="N309" s="193"/>
      <c r="O309" s="193"/>
      <c r="P309" s="193"/>
      <c r="Q309" s="193"/>
      <c r="R309" s="193"/>
      <c r="S309" s="193"/>
      <c r="T309" s="193"/>
      <c r="U309" s="193"/>
      <c r="V309" s="193"/>
      <c r="W309" s="193"/>
      <c r="X309" s="193"/>
      <c r="Y309" s="193"/>
    </row>
    <row r="310" spans="2:25" ht="45" hidden="1" customHeight="1" x14ac:dyDescent="0.2">
      <c r="B310" s="222" t="s">
        <v>576</v>
      </c>
      <c r="C310" s="187" t="s">
        <v>605</v>
      </c>
      <c r="D310" s="188"/>
      <c r="E310" s="188"/>
      <c r="F310" s="216" t="s">
        <v>621</v>
      </c>
      <c r="G310" s="209" t="s">
        <v>624</v>
      </c>
      <c r="H310" s="208" t="s">
        <v>601</v>
      </c>
      <c r="I310" s="221">
        <v>2640</v>
      </c>
      <c r="J310" s="221">
        <v>2000</v>
      </c>
      <c r="K310" s="208" t="s">
        <v>608</v>
      </c>
      <c r="L310" s="205"/>
      <c r="M310" s="193"/>
      <c r="N310" s="193"/>
      <c r="O310" s="193"/>
      <c r="P310" s="193"/>
      <c r="Q310" s="193"/>
      <c r="R310" s="193"/>
      <c r="S310" s="193"/>
      <c r="T310" s="193"/>
      <c r="U310" s="193"/>
      <c r="V310" s="193"/>
      <c r="W310" s="193"/>
      <c r="X310" s="193"/>
      <c r="Y310" s="193"/>
    </row>
    <row r="311" spans="2:25" ht="60" hidden="1" customHeight="1" x14ac:dyDescent="0.2">
      <c r="B311" s="222" t="s">
        <v>576</v>
      </c>
      <c r="C311" s="187" t="s">
        <v>605</v>
      </c>
      <c r="D311" s="188"/>
      <c r="E311" s="188"/>
      <c r="F311" s="216" t="s">
        <v>621</v>
      </c>
      <c r="G311" s="209" t="s">
        <v>625</v>
      </c>
      <c r="H311" s="208" t="s">
        <v>67</v>
      </c>
      <c r="I311" s="208">
        <v>5</v>
      </c>
      <c r="J311" s="208">
        <v>6</v>
      </c>
      <c r="K311" s="208" t="s">
        <v>255</v>
      </c>
      <c r="L311" s="205"/>
      <c r="M311" s="193"/>
      <c r="N311" s="193"/>
      <c r="O311" s="193"/>
      <c r="P311" s="193"/>
      <c r="Q311" s="193"/>
      <c r="R311" s="193"/>
      <c r="S311" s="193"/>
      <c r="T311" s="193"/>
      <c r="U311" s="193"/>
      <c r="V311" s="193"/>
      <c r="W311" s="193"/>
      <c r="X311" s="193"/>
      <c r="Y311" s="193"/>
    </row>
    <row r="312" spans="2:25" ht="60" hidden="1" customHeight="1" x14ac:dyDescent="0.2">
      <c r="B312" s="222" t="s">
        <v>576</v>
      </c>
      <c r="C312" s="187" t="s">
        <v>626</v>
      </c>
      <c r="D312" s="188"/>
      <c r="E312" s="188"/>
      <c r="F312" s="207" t="s">
        <v>627</v>
      </c>
      <c r="G312" s="209" t="s">
        <v>628</v>
      </c>
      <c r="H312" s="208" t="s">
        <v>67</v>
      </c>
      <c r="I312" s="208">
        <v>1010</v>
      </c>
      <c r="J312" s="221">
        <v>1250</v>
      </c>
      <c r="K312" s="208" t="s">
        <v>241</v>
      </c>
      <c r="L312" s="205"/>
      <c r="M312" s="193"/>
      <c r="N312" s="193"/>
      <c r="O312" s="193"/>
      <c r="P312" s="193"/>
      <c r="Q312" s="193"/>
      <c r="R312" s="193"/>
      <c r="S312" s="193"/>
      <c r="T312" s="193"/>
      <c r="U312" s="193"/>
      <c r="V312" s="193"/>
      <c r="W312" s="193"/>
      <c r="X312" s="193"/>
      <c r="Y312" s="193"/>
    </row>
    <row r="313" spans="2:25" ht="47.25" hidden="1" customHeight="1" x14ac:dyDescent="0.2">
      <c r="B313" s="222" t="s">
        <v>576</v>
      </c>
      <c r="C313" s="187" t="s">
        <v>626</v>
      </c>
      <c r="D313" s="188"/>
      <c r="E313" s="188"/>
      <c r="F313" s="207" t="s">
        <v>627</v>
      </c>
      <c r="G313" s="209" t="s">
        <v>629</v>
      </c>
      <c r="H313" s="208" t="s">
        <v>67</v>
      </c>
      <c r="I313" s="208">
        <v>538</v>
      </c>
      <c r="J313" s="208">
        <v>400</v>
      </c>
      <c r="K313" s="208" t="s">
        <v>241</v>
      </c>
      <c r="L313" s="205"/>
      <c r="M313" s="193"/>
      <c r="N313" s="193"/>
      <c r="O313" s="193"/>
      <c r="P313" s="193"/>
      <c r="Q313" s="193"/>
      <c r="R313" s="193"/>
      <c r="S313" s="193"/>
      <c r="T313" s="193"/>
      <c r="U313" s="193"/>
      <c r="V313" s="193"/>
      <c r="W313" s="193"/>
      <c r="X313" s="193"/>
      <c r="Y313" s="193"/>
    </row>
    <row r="314" spans="2:25" ht="75" hidden="1" customHeight="1" x14ac:dyDescent="0.25">
      <c r="B314" s="222" t="s">
        <v>576</v>
      </c>
      <c r="C314" s="213" t="s">
        <v>630</v>
      </c>
      <c r="D314" s="214"/>
      <c r="E314" s="214"/>
      <c r="F314" s="189" t="s">
        <v>631</v>
      </c>
      <c r="G314" s="209" t="s">
        <v>632</v>
      </c>
      <c r="H314" s="208" t="s">
        <v>67</v>
      </c>
      <c r="I314" s="208">
        <v>300</v>
      </c>
      <c r="J314" s="208">
        <v>300</v>
      </c>
      <c r="K314" s="208" t="s">
        <v>264</v>
      </c>
      <c r="L314" s="205"/>
      <c r="M314" s="193"/>
      <c r="N314" s="193"/>
      <c r="O314" s="193"/>
      <c r="P314" s="193"/>
      <c r="Q314" s="193"/>
      <c r="R314" s="193"/>
      <c r="S314" s="193"/>
      <c r="T314" s="193"/>
      <c r="U314" s="193"/>
      <c r="V314" s="193"/>
      <c r="W314" s="193"/>
      <c r="X314" s="193"/>
      <c r="Y314" s="193"/>
    </row>
    <row r="315" spans="2:25" ht="46.5" hidden="1" customHeight="1" x14ac:dyDescent="0.25">
      <c r="B315" s="222" t="s">
        <v>576</v>
      </c>
      <c r="C315" s="213" t="s">
        <v>630</v>
      </c>
      <c r="D315" s="214"/>
      <c r="E315" s="214"/>
      <c r="F315" s="189" t="s">
        <v>631</v>
      </c>
      <c r="G315" s="209" t="s">
        <v>633</v>
      </c>
      <c r="H315" s="208" t="s">
        <v>634</v>
      </c>
      <c r="I315" s="208">
        <v>900</v>
      </c>
      <c r="J315" s="208">
        <v>918</v>
      </c>
      <c r="K315" s="208" t="s">
        <v>264</v>
      </c>
      <c r="L315" s="205"/>
      <c r="M315" s="193"/>
      <c r="N315" s="193"/>
      <c r="O315" s="193"/>
      <c r="P315" s="193"/>
      <c r="Q315" s="193"/>
      <c r="R315" s="193"/>
      <c r="S315" s="193"/>
      <c r="T315" s="193"/>
      <c r="U315" s="193"/>
      <c r="V315" s="193"/>
      <c r="W315" s="193"/>
      <c r="X315" s="193"/>
      <c r="Y315" s="193"/>
    </row>
    <row r="316" spans="2:25" ht="90" hidden="1" customHeight="1" x14ac:dyDescent="0.25">
      <c r="B316" s="222" t="s">
        <v>576</v>
      </c>
      <c r="C316" s="213" t="s">
        <v>630</v>
      </c>
      <c r="D316" s="214"/>
      <c r="E316" s="214"/>
      <c r="F316" s="189" t="s">
        <v>631</v>
      </c>
      <c r="G316" s="209" t="s">
        <v>635</v>
      </c>
      <c r="H316" s="208" t="s">
        <v>67</v>
      </c>
      <c r="I316" s="208">
        <v>0</v>
      </c>
      <c r="J316" s="221">
        <v>10000</v>
      </c>
      <c r="K316" s="208" t="s">
        <v>264</v>
      </c>
      <c r="L316" s="205"/>
      <c r="M316" s="193"/>
      <c r="N316" s="193"/>
      <c r="O316" s="193"/>
      <c r="P316" s="193"/>
      <c r="Q316" s="193"/>
      <c r="R316" s="193"/>
      <c r="S316" s="193"/>
      <c r="T316" s="193"/>
      <c r="U316" s="193"/>
      <c r="V316" s="193"/>
      <c r="W316" s="193"/>
      <c r="X316" s="193"/>
      <c r="Y316" s="193"/>
    </row>
    <row r="317" spans="2:25" ht="51" hidden="1" customHeight="1" x14ac:dyDescent="0.25">
      <c r="B317" s="222" t="s">
        <v>576</v>
      </c>
      <c r="C317" s="213" t="s">
        <v>630</v>
      </c>
      <c r="D317" s="214"/>
      <c r="E317" s="214"/>
      <c r="F317" s="189" t="s">
        <v>631</v>
      </c>
      <c r="G317" s="209" t="s">
        <v>636</v>
      </c>
      <c r="H317" s="208" t="s">
        <v>67</v>
      </c>
      <c r="I317" s="208">
        <v>0</v>
      </c>
      <c r="J317" s="208">
        <v>20</v>
      </c>
      <c r="K317" s="208" t="s">
        <v>264</v>
      </c>
      <c r="L317" s="205"/>
      <c r="M317" s="193"/>
      <c r="N317" s="193"/>
      <c r="O317" s="193"/>
      <c r="P317" s="193"/>
      <c r="Q317" s="193"/>
      <c r="R317" s="193"/>
      <c r="S317" s="193"/>
      <c r="T317" s="193"/>
      <c r="U317" s="193"/>
      <c r="V317" s="193"/>
      <c r="W317" s="193"/>
      <c r="X317" s="193"/>
      <c r="Y317" s="193"/>
    </row>
    <row r="318" spans="2:25" ht="75" hidden="1" customHeight="1" x14ac:dyDescent="0.25">
      <c r="B318" s="222" t="s">
        <v>576</v>
      </c>
      <c r="C318" s="213" t="s">
        <v>630</v>
      </c>
      <c r="D318" s="214"/>
      <c r="E318" s="214"/>
      <c r="F318" s="216" t="s">
        <v>637</v>
      </c>
      <c r="G318" s="209" t="s">
        <v>638</v>
      </c>
      <c r="H318" s="208" t="s">
        <v>67</v>
      </c>
      <c r="I318" s="208">
        <v>12</v>
      </c>
      <c r="J318" s="208">
        <v>12</v>
      </c>
      <c r="K318" s="208" t="s">
        <v>264</v>
      </c>
      <c r="L318" s="205"/>
      <c r="M318" s="193"/>
      <c r="N318" s="193"/>
      <c r="O318" s="193"/>
      <c r="P318" s="193"/>
      <c r="Q318" s="193"/>
      <c r="R318" s="193"/>
      <c r="S318" s="193"/>
      <c r="T318" s="193"/>
      <c r="U318" s="193"/>
      <c r="V318" s="193"/>
      <c r="W318" s="193"/>
      <c r="X318" s="193"/>
      <c r="Y318" s="193"/>
    </row>
    <row r="319" spans="2:25" ht="51" hidden="1" customHeight="1" x14ac:dyDescent="0.25">
      <c r="B319" s="222" t="s">
        <v>576</v>
      </c>
      <c r="C319" s="213" t="s">
        <v>630</v>
      </c>
      <c r="D319" s="214"/>
      <c r="E319" s="214"/>
      <c r="F319" s="216" t="s">
        <v>637</v>
      </c>
      <c r="G319" s="209" t="s">
        <v>639</v>
      </c>
      <c r="H319" s="208" t="s">
        <v>67</v>
      </c>
      <c r="I319" s="208">
        <v>12</v>
      </c>
      <c r="J319" s="208">
        <v>24</v>
      </c>
      <c r="K319" s="208" t="s">
        <v>264</v>
      </c>
      <c r="L319" s="205"/>
      <c r="M319" s="193"/>
      <c r="N319" s="193"/>
      <c r="O319" s="193"/>
      <c r="P319" s="193"/>
      <c r="Q319" s="193"/>
      <c r="R319" s="193"/>
      <c r="S319" s="193"/>
      <c r="T319" s="193"/>
      <c r="U319" s="193"/>
      <c r="V319" s="193"/>
      <c r="W319" s="193"/>
      <c r="X319" s="193"/>
      <c r="Y319" s="193"/>
    </row>
    <row r="320" spans="2:25" ht="45.75" hidden="1" customHeight="1" x14ac:dyDescent="0.25">
      <c r="B320" s="222" t="s">
        <v>576</v>
      </c>
      <c r="C320" s="213" t="s">
        <v>630</v>
      </c>
      <c r="D320" s="214"/>
      <c r="E320" s="214"/>
      <c r="F320" s="216" t="s">
        <v>637</v>
      </c>
      <c r="G320" s="209" t="s">
        <v>640</v>
      </c>
      <c r="H320" s="208" t="s">
        <v>641</v>
      </c>
      <c r="I320" s="208">
        <v>80</v>
      </c>
      <c r="J320" s="208">
        <v>276</v>
      </c>
      <c r="K320" s="208" t="s">
        <v>264</v>
      </c>
      <c r="L320" s="205"/>
      <c r="M320" s="193"/>
      <c r="N320" s="193"/>
      <c r="O320" s="193"/>
      <c r="P320" s="193"/>
      <c r="Q320" s="193"/>
      <c r="R320" s="193"/>
      <c r="S320" s="193"/>
      <c r="T320" s="193"/>
      <c r="U320" s="193"/>
      <c r="V320" s="193"/>
      <c r="W320" s="193"/>
      <c r="X320" s="193"/>
      <c r="Y320" s="193"/>
    </row>
    <row r="321" spans="2:25" ht="62.45" hidden="1" customHeight="1" x14ac:dyDescent="0.2">
      <c r="B321" s="222" t="s">
        <v>576</v>
      </c>
      <c r="C321" s="187" t="s">
        <v>642</v>
      </c>
      <c r="D321" s="188"/>
      <c r="E321" s="188"/>
      <c r="F321" s="207" t="s">
        <v>643</v>
      </c>
      <c r="G321" s="209" t="s">
        <v>644</v>
      </c>
      <c r="H321" s="208" t="s">
        <v>67</v>
      </c>
      <c r="I321" s="208">
        <v>1515</v>
      </c>
      <c r="J321" s="221">
        <v>2000</v>
      </c>
      <c r="K321" s="208" t="s">
        <v>645</v>
      </c>
      <c r="L321" s="205"/>
      <c r="M321" s="193"/>
      <c r="N321" s="193"/>
      <c r="O321" s="193"/>
      <c r="P321" s="193"/>
      <c r="Q321" s="193"/>
      <c r="R321" s="193"/>
      <c r="S321" s="193"/>
      <c r="T321" s="193"/>
      <c r="U321" s="193"/>
      <c r="V321" s="193"/>
      <c r="W321" s="193"/>
      <c r="X321" s="193"/>
      <c r="Y321" s="193"/>
    </row>
    <row r="322" spans="2:25" ht="62.45" hidden="1" customHeight="1" x14ac:dyDescent="0.2">
      <c r="B322" s="222" t="s">
        <v>576</v>
      </c>
      <c r="C322" s="187" t="s">
        <v>642</v>
      </c>
      <c r="D322" s="188"/>
      <c r="E322" s="188"/>
      <c r="F322" s="207" t="s">
        <v>643</v>
      </c>
      <c r="G322" s="209" t="s">
        <v>646</v>
      </c>
      <c r="H322" s="208" t="s">
        <v>67</v>
      </c>
      <c r="I322" s="208">
        <v>0</v>
      </c>
      <c r="J322" s="208">
        <v>200</v>
      </c>
      <c r="K322" s="208" t="s">
        <v>645</v>
      </c>
      <c r="L322" s="205"/>
      <c r="M322" s="193"/>
      <c r="N322" s="193"/>
      <c r="O322" s="193"/>
      <c r="P322" s="193"/>
      <c r="Q322" s="193"/>
      <c r="R322" s="193"/>
      <c r="S322" s="193"/>
      <c r="T322" s="193"/>
      <c r="U322" s="193"/>
      <c r="V322" s="193"/>
      <c r="W322" s="193"/>
      <c r="X322" s="193"/>
      <c r="Y322" s="193"/>
    </row>
    <row r="323" spans="2:25" ht="62.45" hidden="1" customHeight="1" x14ac:dyDescent="0.2">
      <c r="B323" s="222" t="s">
        <v>576</v>
      </c>
      <c r="C323" s="187" t="s">
        <v>642</v>
      </c>
      <c r="D323" s="188"/>
      <c r="E323" s="188"/>
      <c r="F323" s="207" t="s">
        <v>643</v>
      </c>
      <c r="G323" s="209" t="s">
        <v>647</v>
      </c>
      <c r="H323" s="208" t="s">
        <v>67</v>
      </c>
      <c r="I323" s="208">
        <v>2</v>
      </c>
      <c r="J323" s="208">
        <v>10</v>
      </c>
      <c r="K323" s="208" t="s">
        <v>645</v>
      </c>
      <c r="L323" s="205"/>
      <c r="M323" s="193"/>
      <c r="N323" s="193"/>
      <c r="O323" s="193"/>
      <c r="P323" s="193"/>
      <c r="Q323" s="193"/>
      <c r="R323" s="193"/>
      <c r="S323" s="193"/>
      <c r="T323" s="193"/>
      <c r="U323" s="193"/>
      <c r="V323" s="193"/>
      <c r="W323" s="193"/>
      <c r="X323" s="193"/>
      <c r="Y323" s="193"/>
    </row>
    <row r="324" spans="2:25" ht="90" hidden="1" customHeight="1" x14ac:dyDescent="0.2">
      <c r="B324" s="222" t="s">
        <v>576</v>
      </c>
      <c r="C324" s="187" t="s">
        <v>642</v>
      </c>
      <c r="D324" s="188"/>
      <c r="E324" s="188"/>
      <c r="F324" s="207" t="s">
        <v>643</v>
      </c>
      <c r="G324" s="209" t="s">
        <v>648</v>
      </c>
      <c r="H324" s="208" t="s">
        <v>67</v>
      </c>
      <c r="I324" s="208">
        <v>48</v>
      </c>
      <c r="J324" s="208">
        <v>80</v>
      </c>
      <c r="K324" s="208" t="s">
        <v>645</v>
      </c>
      <c r="L324" s="205"/>
      <c r="M324" s="193"/>
      <c r="N324" s="193"/>
      <c r="O324" s="193"/>
      <c r="P324" s="193"/>
      <c r="Q324" s="193"/>
      <c r="R324" s="193"/>
      <c r="S324" s="193"/>
      <c r="T324" s="193"/>
      <c r="U324" s="193"/>
      <c r="V324" s="193"/>
      <c r="W324" s="193"/>
      <c r="X324" s="193"/>
      <c r="Y324" s="193"/>
    </row>
    <row r="325" spans="2:25" ht="75" hidden="1" customHeight="1" x14ac:dyDescent="0.2">
      <c r="B325" s="222" t="s">
        <v>576</v>
      </c>
      <c r="C325" s="187" t="s">
        <v>642</v>
      </c>
      <c r="D325" s="188"/>
      <c r="E325" s="188"/>
      <c r="F325" s="207" t="s">
        <v>643</v>
      </c>
      <c r="G325" s="209" t="s">
        <v>649</v>
      </c>
      <c r="H325" s="208" t="s">
        <v>67</v>
      </c>
      <c r="I325" s="208">
        <v>37</v>
      </c>
      <c r="J325" s="208">
        <v>86</v>
      </c>
      <c r="K325" s="208" t="s">
        <v>645</v>
      </c>
      <c r="L325" s="205"/>
      <c r="M325" s="193"/>
      <c r="N325" s="193"/>
      <c r="O325" s="193"/>
      <c r="P325" s="193"/>
      <c r="Q325" s="193"/>
      <c r="R325" s="193"/>
      <c r="S325" s="193"/>
      <c r="T325" s="193"/>
      <c r="U325" s="193"/>
      <c r="V325" s="193"/>
      <c r="W325" s="193"/>
      <c r="X325" s="193"/>
      <c r="Y325" s="193"/>
    </row>
    <row r="326" spans="2:25" ht="62.45" hidden="1" customHeight="1" x14ac:dyDescent="0.2">
      <c r="B326" s="222" t="s">
        <v>576</v>
      </c>
      <c r="C326" s="187" t="s">
        <v>642</v>
      </c>
      <c r="D326" s="188"/>
      <c r="E326" s="188"/>
      <c r="F326" s="207" t="s">
        <v>643</v>
      </c>
      <c r="G326" s="209" t="s">
        <v>650</v>
      </c>
      <c r="H326" s="208" t="s">
        <v>67</v>
      </c>
      <c r="I326" s="208">
        <v>54</v>
      </c>
      <c r="J326" s="208">
        <v>12</v>
      </c>
      <c r="K326" s="208" t="s">
        <v>645</v>
      </c>
      <c r="L326" s="205"/>
      <c r="M326" s="193"/>
      <c r="N326" s="193"/>
      <c r="O326" s="193"/>
      <c r="P326" s="193"/>
      <c r="Q326" s="193"/>
      <c r="R326" s="193"/>
      <c r="S326" s="193"/>
      <c r="T326" s="193"/>
      <c r="U326" s="193"/>
      <c r="V326" s="193"/>
      <c r="W326" s="193"/>
      <c r="X326" s="193"/>
      <c r="Y326" s="193"/>
    </row>
    <row r="327" spans="2:25" ht="62.45" hidden="1" customHeight="1" x14ac:dyDescent="0.2">
      <c r="B327" s="222" t="s">
        <v>576</v>
      </c>
      <c r="C327" s="187" t="s">
        <v>642</v>
      </c>
      <c r="D327" s="188"/>
      <c r="E327" s="188"/>
      <c r="F327" s="207" t="s">
        <v>643</v>
      </c>
      <c r="G327" s="209" t="s">
        <v>651</v>
      </c>
      <c r="H327" s="208" t="s">
        <v>67</v>
      </c>
      <c r="I327" s="208">
        <v>0</v>
      </c>
      <c r="J327" s="208">
        <v>1</v>
      </c>
      <c r="K327" s="208" t="s">
        <v>645</v>
      </c>
      <c r="L327" s="205"/>
      <c r="M327" s="193"/>
      <c r="N327" s="193"/>
      <c r="O327" s="193"/>
      <c r="P327" s="193"/>
      <c r="Q327" s="193"/>
      <c r="R327" s="193"/>
      <c r="S327" s="193"/>
      <c r="T327" s="193"/>
      <c r="U327" s="193"/>
      <c r="V327" s="193"/>
      <c r="W327" s="193"/>
      <c r="X327" s="193"/>
      <c r="Y327" s="193"/>
    </row>
    <row r="328" spans="2:25" ht="62.45" hidden="1" customHeight="1" x14ac:dyDescent="0.2">
      <c r="B328" s="222" t="s">
        <v>576</v>
      </c>
      <c r="C328" s="187" t="s">
        <v>642</v>
      </c>
      <c r="D328" s="188"/>
      <c r="E328" s="188"/>
      <c r="F328" s="207" t="s">
        <v>643</v>
      </c>
      <c r="G328" s="209" t="s">
        <v>652</v>
      </c>
      <c r="H328" s="208" t="s">
        <v>67</v>
      </c>
      <c r="I328" s="208">
        <v>0</v>
      </c>
      <c r="J328" s="208">
        <v>1</v>
      </c>
      <c r="K328" s="208" t="s">
        <v>645</v>
      </c>
      <c r="L328" s="205"/>
      <c r="M328" s="193"/>
      <c r="N328" s="193"/>
      <c r="O328" s="193"/>
      <c r="P328" s="193"/>
      <c r="Q328" s="193"/>
      <c r="R328" s="193"/>
      <c r="S328" s="193"/>
      <c r="T328" s="193"/>
      <c r="U328" s="193"/>
      <c r="V328" s="193"/>
      <c r="W328" s="193"/>
      <c r="X328" s="193"/>
      <c r="Y328" s="193"/>
    </row>
    <row r="329" spans="2:25" ht="62.45" hidden="1" customHeight="1" x14ac:dyDescent="0.2">
      <c r="B329" s="222" t="s">
        <v>576</v>
      </c>
      <c r="C329" s="187" t="s">
        <v>642</v>
      </c>
      <c r="D329" s="188"/>
      <c r="E329" s="188"/>
      <c r="F329" s="207" t="s">
        <v>643</v>
      </c>
      <c r="G329" s="209" t="s">
        <v>653</v>
      </c>
      <c r="H329" s="208" t="s">
        <v>67</v>
      </c>
      <c r="I329" s="208">
        <v>0</v>
      </c>
      <c r="J329" s="208">
        <v>1</v>
      </c>
      <c r="K329" s="196" t="s">
        <v>225</v>
      </c>
      <c r="L329" s="205"/>
      <c r="M329" s="199"/>
      <c r="N329" s="199">
        <v>1</v>
      </c>
      <c r="O329" s="193"/>
      <c r="P329" s="193"/>
      <c r="Q329" s="193"/>
      <c r="R329" s="193"/>
      <c r="S329" s="193"/>
      <c r="T329" s="193"/>
      <c r="U329" s="193"/>
      <c r="V329" s="193"/>
      <c r="W329" s="193"/>
      <c r="X329" s="193"/>
      <c r="Y329" s="193"/>
    </row>
    <row r="330" spans="2:25" ht="62.45" hidden="1" customHeight="1" x14ac:dyDescent="0.2">
      <c r="B330" s="222" t="s">
        <v>576</v>
      </c>
      <c r="C330" s="187" t="s">
        <v>642</v>
      </c>
      <c r="D330" s="188"/>
      <c r="E330" s="188"/>
      <c r="F330" s="207" t="s">
        <v>643</v>
      </c>
      <c r="G330" s="209" t="s">
        <v>654</v>
      </c>
      <c r="H330" s="208" t="s">
        <v>250</v>
      </c>
      <c r="I330" s="208">
        <v>0</v>
      </c>
      <c r="J330" s="208">
        <v>1</v>
      </c>
      <c r="K330" s="210" t="s">
        <v>253</v>
      </c>
      <c r="L330" s="205"/>
      <c r="M330" s="193"/>
      <c r="N330" s="193"/>
      <c r="O330" s="193"/>
      <c r="P330" s="193"/>
      <c r="Q330" s="193"/>
      <c r="R330" s="193"/>
      <c r="S330" s="193"/>
      <c r="T330" s="193"/>
      <c r="U330" s="193"/>
      <c r="V330" s="193"/>
      <c r="W330" s="193"/>
      <c r="X330" s="193"/>
      <c r="Y330" s="193"/>
    </row>
    <row r="331" spans="2:25" ht="62.45" hidden="1" customHeight="1" x14ac:dyDescent="0.2">
      <c r="B331" s="222" t="s">
        <v>576</v>
      </c>
      <c r="C331" s="187" t="s">
        <v>642</v>
      </c>
      <c r="D331" s="188"/>
      <c r="E331" s="188"/>
      <c r="F331" s="205" t="s">
        <v>655</v>
      </c>
      <c r="G331" s="209" t="s">
        <v>656</v>
      </c>
      <c r="H331" s="208" t="s">
        <v>67</v>
      </c>
      <c r="I331" s="221">
        <v>2291</v>
      </c>
      <c r="J331" s="221">
        <v>2500</v>
      </c>
      <c r="K331" s="208" t="s">
        <v>645</v>
      </c>
      <c r="L331" s="205"/>
      <c r="M331" s="193"/>
      <c r="N331" s="193"/>
      <c r="O331" s="193"/>
      <c r="P331" s="193"/>
      <c r="Q331" s="193"/>
      <c r="R331" s="193"/>
      <c r="S331" s="193"/>
      <c r="T331" s="193"/>
      <c r="U331" s="193"/>
      <c r="V331" s="193"/>
      <c r="W331" s="193"/>
      <c r="X331" s="193"/>
      <c r="Y331" s="193"/>
    </row>
    <row r="332" spans="2:25" ht="62.45" hidden="1" customHeight="1" x14ac:dyDescent="0.2">
      <c r="B332" s="222" t="s">
        <v>576</v>
      </c>
      <c r="C332" s="187" t="s">
        <v>642</v>
      </c>
      <c r="D332" s="188"/>
      <c r="E332" s="188"/>
      <c r="F332" s="205" t="s">
        <v>655</v>
      </c>
      <c r="G332" s="209" t="s">
        <v>657</v>
      </c>
      <c r="H332" s="208" t="s">
        <v>67</v>
      </c>
      <c r="I332" s="208">
        <v>0</v>
      </c>
      <c r="J332" s="208">
        <v>200</v>
      </c>
      <c r="K332" s="208" t="s">
        <v>645</v>
      </c>
      <c r="L332" s="205"/>
      <c r="M332" s="193"/>
      <c r="N332" s="193"/>
      <c r="O332" s="193"/>
      <c r="P332" s="193"/>
      <c r="Q332" s="193"/>
      <c r="R332" s="193"/>
      <c r="S332" s="193"/>
      <c r="T332" s="193"/>
      <c r="U332" s="193"/>
      <c r="V332" s="193"/>
      <c r="W332" s="193"/>
      <c r="X332" s="193"/>
      <c r="Y332" s="193"/>
    </row>
    <row r="333" spans="2:25" ht="62.45" hidden="1" customHeight="1" x14ac:dyDescent="0.2">
      <c r="B333" s="222" t="s">
        <v>576</v>
      </c>
      <c r="C333" s="187" t="s">
        <v>642</v>
      </c>
      <c r="D333" s="188"/>
      <c r="E333" s="188"/>
      <c r="F333" s="205" t="s">
        <v>655</v>
      </c>
      <c r="G333" s="209" t="s">
        <v>658</v>
      </c>
      <c r="H333" s="208" t="s">
        <v>67</v>
      </c>
      <c r="I333" s="208">
        <v>408</v>
      </c>
      <c r="J333" s="208">
        <v>500</v>
      </c>
      <c r="K333" s="208" t="s">
        <v>645</v>
      </c>
      <c r="L333" s="205"/>
      <c r="M333" s="193"/>
      <c r="N333" s="193"/>
      <c r="O333" s="193"/>
      <c r="P333" s="193"/>
      <c r="Q333" s="193"/>
      <c r="R333" s="193"/>
      <c r="S333" s="193"/>
      <c r="T333" s="193"/>
      <c r="U333" s="193"/>
      <c r="V333" s="193"/>
      <c r="W333" s="193"/>
      <c r="X333" s="193"/>
      <c r="Y333" s="193"/>
    </row>
    <row r="334" spans="2:25" ht="62.45" hidden="1" customHeight="1" x14ac:dyDescent="0.2">
      <c r="B334" s="222" t="s">
        <v>576</v>
      </c>
      <c r="C334" s="187" t="s">
        <v>642</v>
      </c>
      <c r="D334" s="188"/>
      <c r="E334" s="188"/>
      <c r="F334" s="205" t="s">
        <v>655</v>
      </c>
      <c r="G334" s="209" t="s">
        <v>659</v>
      </c>
      <c r="H334" s="208" t="s">
        <v>67</v>
      </c>
      <c r="I334" s="208">
        <v>0</v>
      </c>
      <c r="J334" s="208">
        <v>4</v>
      </c>
      <c r="K334" s="208" t="s">
        <v>645</v>
      </c>
      <c r="L334" s="205"/>
      <c r="M334" s="193"/>
      <c r="N334" s="193"/>
      <c r="O334" s="193"/>
      <c r="P334" s="193"/>
      <c r="Q334" s="193"/>
      <c r="R334" s="193"/>
      <c r="S334" s="193"/>
      <c r="T334" s="193"/>
      <c r="U334" s="193"/>
      <c r="V334" s="193"/>
      <c r="W334" s="193"/>
      <c r="X334" s="193"/>
      <c r="Y334" s="193"/>
    </row>
    <row r="335" spans="2:25" ht="60" hidden="1" customHeight="1" x14ac:dyDescent="0.25">
      <c r="B335" s="222" t="s">
        <v>576</v>
      </c>
      <c r="C335" s="213" t="s">
        <v>660</v>
      </c>
      <c r="D335" s="214"/>
      <c r="E335" s="214"/>
      <c r="F335" s="189" t="s">
        <v>661</v>
      </c>
      <c r="G335" s="209" t="s">
        <v>662</v>
      </c>
      <c r="H335" s="208" t="s">
        <v>67</v>
      </c>
      <c r="I335" s="208">
        <v>448</v>
      </c>
      <c r="J335" s="208">
        <v>570</v>
      </c>
      <c r="K335" s="208" t="s">
        <v>645</v>
      </c>
      <c r="L335" s="205"/>
      <c r="M335" s="193"/>
      <c r="N335" s="193"/>
      <c r="O335" s="193"/>
      <c r="P335" s="193"/>
      <c r="Q335" s="193"/>
      <c r="R335" s="193"/>
      <c r="S335" s="193"/>
      <c r="T335" s="193"/>
      <c r="U335" s="193"/>
      <c r="V335" s="193"/>
      <c r="W335" s="193"/>
      <c r="X335" s="193"/>
      <c r="Y335" s="193"/>
    </row>
    <row r="336" spans="2:25" ht="51.75" hidden="1" customHeight="1" x14ac:dyDescent="0.25">
      <c r="B336" s="222" t="s">
        <v>576</v>
      </c>
      <c r="C336" s="213" t="s">
        <v>660</v>
      </c>
      <c r="D336" s="214"/>
      <c r="E336" s="214"/>
      <c r="F336" s="189" t="s">
        <v>661</v>
      </c>
      <c r="G336" s="209" t="s">
        <v>663</v>
      </c>
      <c r="H336" s="208" t="s">
        <v>67</v>
      </c>
      <c r="I336" s="208">
        <v>0</v>
      </c>
      <c r="J336" s="208">
        <v>155</v>
      </c>
      <c r="K336" s="208" t="s">
        <v>645</v>
      </c>
      <c r="L336" s="205"/>
      <c r="M336" s="193"/>
      <c r="N336" s="193"/>
      <c r="O336" s="193"/>
      <c r="P336" s="193"/>
      <c r="Q336" s="193"/>
      <c r="R336" s="193"/>
      <c r="S336" s="193"/>
      <c r="T336" s="193"/>
      <c r="U336" s="193"/>
      <c r="V336" s="193"/>
      <c r="W336" s="193"/>
      <c r="X336" s="193"/>
      <c r="Y336" s="193"/>
    </row>
    <row r="337" spans="2:25" ht="67.5" hidden="1" customHeight="1" x14ac:dyDescent="0.25">
      <c r="B337" s="222" t="s">
        <v>576</v>
      </c>
      <c r="C337" s="213" t="s">
        <v>664</v>
      </c>
      <c r="D337" s="214"/>
      <c r="E337" s="214"/>
      <c r="F337" s="189" t="s">
        <v>665</v>
      </c>
      <c r="G337" s="209" t="s">
        <v>666</v>
      </c>
      <c r="H337" s="208" t="s">
        <v>67</v>
      </c>
      <c r="I337" s="208">
        <v>4185</v>
      </c>
      <c r="J337" s="221">
        <v>3000</v>
      </c>
      <c r="K337" s="208" t="s">
        <v>363</v>
      </c>
      <c r="L337" s="205"/>
      <c r="M337" s="193"/>
      <c r="N337" s="193"/>
      <c r="O337" s="193"/>
      <c r="P337" s="193"/>
      <c r="Q337" s="193"/>
      <c r="R337" s="193"/>
      <c r="S337" s="193"/>
      <c r="T337" s="193"/>
      <c r="U337" s="193"/>
      <c r="V337" s="193"/>
      <c r="W337" s="193"/>
      <c r="X337" s="193"/>
      <c r="Y337" s="193"/>
    </row>
    <row r="338" spans="2:25" ht="51" hidden="1" customHeight="1" x14ac:dyDescent="0.25">
      <c r="B338" s="222" t="s">
        <v>576</v>
      </c>
      <c r="C338" s="213" t="s">
        <v>664</v>
      </c>
      <c r="D338" s="214"/>
      <c r="E338" s="214"/>
      <c r="F338" s="189" t="s">
        <v>665</v>
      </c>
      <c r="G338" s="209" t="s">
        <v>667</v>
      </c>
      <c r="H338" s="208" t="s">
        <v>67</v>
      </c>
      <c r="I338" s="208">
        <v>0</v>
      </c>
      <c r="J338" s="208">
        <v>1</v>
      </c>
      <c r="K338" s="208" t="s">
        <v>363</v>
      </c>
      <c r="L338" s="205"/>
      <c r="M338" s="193"/>
      <c r="N338" s="193"/>
      <c r="O338" s="193"/>
      <c r="P338" s="193"/>
      <c r="Q338" s="193"/>
      <c r="R338" s="193"/>
      <c r="S338" s="193"/>
      <c r="T338" s="193"/>
      <c r="U338" s="193"/>
      <c r="V338" s="193"/>
      <c r="W338" s="193"/>
      <c r="X338" s="193"/>
      <c r="Y338" s="193"/>
    </row>
    <row r="339" spans="2:25" ht="66.75" hidden="1" customHeight="1" x14ac:dyDescent="0.2">
      <c r="B339" s="222" t="s">
        <v>576</v>
      </c>
      <c r="C339" s="187" t="s">
        <v>664</v>
      </c>
      <c r="D339" s="188"/>
      <c r="E339" s="188"/>
      <c r="F339" s="189" t="s">
        <v>668</v>
      </c>
      <c r="G339" s="209" t="s">
        <v>669</v>
      </c>
      <c r="H339" s="208" t="s">
        <v>67</v>
      </c>
      <c r="I339" s="208">
        <v>1</v>
      </c>
      <c r="J339" s="208">
        <v>1</v>
      </c>
      <c r="K339" s="208" t="s">
        <v>297</v>
      </c>
      <c r="L339" s="205"/>
      <c r="M339" s="193"/>
      <c r="N339" s="193"/>
      <c r="O339" s="193"/>
      <c r="P339" s="193"/>
      <c r="Q339" s="193"/>
      <c r="R339" s="193"/>
      <c r="S339" s="193"/>
      <c r="T339" s="193"/>
      <c r="U339" s="193"/>
      <c r="V339" s="193"/>
      <c r="W339" s="193"/>
      <c r="X339" s="193"/>
      <c r="Y339" s="193"/>
    </row>
    <row r="340" spans="2:25" ht="65.25" hidden="1" customHeight="1" x14ac:dyDescent="0.2">
      <c r="B340" s="222" t="s">
        <v>576</v>
      </c>
      <c r="C340" s="187" t="s">
        <v>664</v>
      </c>
      <c r="D340" s="188"/>
      <c r="E340" s="188"/>
      <c r="F340" s="189" t="s">
        <v>668</v>
      </c>
      <c r="G340" s="209" t="s">
        <v>670</v>
      </c>
      <c r="H340" s="208" t="s">
        <v>67</v>
      </c>
      <c r="I340" s="208">
        <v>13</v>
      </c>
      <c r="J340" s="208">
        <v>13</v>
      </c>
      <c r="K340" s="208" t="s">
        <v>297</v>
      </c>
      <c r="L340" s="205"/>
      <c r="M340" s="193"/>
      <c r="N340" s="193"/>
      <c r="O340" s="193"/>
      <c r="P340" s="193"/>
      <c r="Q340" s="193"/>
      <c r="R340" s="193"/>
      <c r="S340" s="193"/>
      <c r="T340" s="193"/>
      <c r="U340" s="193"/>
      <c r="V340" s="193"/>
      <c r="W340" s="193"/>
      <c r="X340" s="193"/>
      <c r="Y340" s="193"/>
    </row>
    <row r="341" spans="2:25" ht="61.5" hidden="1" customHeight="1" x14ac:dyDescent="0.2">
      <c r="B341" s="222" t="s">
        <v>576</v>
      </c>
      <c r="C341" s="187" t="s">
        <v>664</v>
      </c>
      <c r="D341" s="188"/>
      <c r="E341" s="188"/>
      <c r="F341" s="189" t="s">
        <v>668</v>
      </c>
      <c r="G341" s="209" t="s">
        <v>671</v>
      </c>
      <c r="H341" s="208" t="s">
        <v>67</v>
      </c>
      <c r="I341" s="208">
        <v>13</v>
      </c>
      <c r="J341" s="208">
        <v>13</v>
      </c>
      <c r="K341" s="208" t="s">
        <v>297</v>
      </c>
      <c r="L341" s="205"/>
      <c r="M341" s="193"/>
      <c r="N341" s="193"/>
      <c r="O341" s="193"/>
      <c r="P341" s="193"/>
      <c r="Q341" s="193"/>
      <c r="R341" s="193"/>
      <c r="S341" s="193"/>
      <c r="T341" s="193"/>
      <c r="U341" s="193"/>
      <c r="V341" s="193"/>
      <c r="W341" s="193"/>
      <c r="X341" s="193"/>
      <c r="Y341" s="193"/>
    </row>
    <row r="342" spans="2:25" ht="51.75" hidden="1" customHeight="1" x14ac:dyDescent="0.2">
      <c r="B342" s="222" t="s">
        <v>576</v>
      </c>
      <c r="C342" s="187" t="s">
        <v>664</v>
      </c>
      <c r="D342" s="188"/>
      <c r="E342" s="188"/>
      <c r="F342" s="189" t="s">
        <v>668</v>
      </c>
      <c r="G342" s="209" t="s">
        <v>672</v>
      </c>
      <c r="H342" s="208" t="s">
        <v>67</v>
      </c>
      <c r="I342" s="208">
        <v>0</v>
      </c>
      <c r="J342" s="208">
        <v>1</v>
      </c>
      <c r="K342" s="208" t="s">
        <v>297</v>
      </c>
      <c r="L342" s="205"/>
      <c r="M342" s="193"/>
      <c r="N342" s="193"/>
      <c r="O342" s="193"/>
      <c r="P342" s="193"/>
      <c r="Q342" s="193"/>
      <c r="R342" s="193"/>
      <c r="S342" s="193"/>
      <c r="T342" s="193"/>
      <c r="U342" s="193"/>
      <c r="V342" s="193"/>
      <c r="W342" s="193"/>
      <c r="X342" s="193"/>
      <c r="Y342" s="193"/>
    </row>
    <row r="343" spans="2:25" ht="43.5" hidden="1" customHeight="1" x14ac:dyDescent="0.2">
      <c r="B343" s="222" t="s">
        <v>576</v>
      </c>
      <c r="C343" s="187" t="s">
        <v>664</v>
      </c>
      <c r="D343" s="188"/>
      <c r="E343" s="188"/>
      <c r="F343" s="189" t="s">
        <v>668</v>
      </c>
      <c r="G343" s="209" t="s">
        <v>673</v>
      </c>
      <c r="H343" s="208" t="s">
        <v>67</v>
      </c>
      <c r="I343" s="208">
        <v>0</v>
      </c>
      <c r="J343" s="208">
        <v>4</v>
      </c>
      <c r="K343" s="208" t="s">
        <v>297</v>
      </c>
      <c r="L343" s="205"/>
      <c r="M343" s="193"/>
      <c r="N343" s="193"/>
      <c r="O343" s="193"/>
      <c r="P343" s="193"/>
      <c r="Q343" s="193"/>
      <c r="R343" s="193"/>
      <c r="S343" s="193"/>
      <c r="T343" s="193"/>
      <c r="U343" s="193"/>
      <c r="V343" s="193"/>
      <c r="W343" s="193"/>
      <c r="X343" s="193"/>
      <c r="Y343" s="193"/>
    </row>
    <row r="344" spans="2:25" ht="51" hidden="1" customHeight="1" x14ac:dyDescent="0.2">
      <c r="B344" s="222" t="s">
        <v>576</v>
      </c>
      <c r="C344" s="187" t="s">
        <v>664</v>
      </c>
      <c r="D344" s="188"/>
      <c r="E344" s="188"/>
      <c r="F344" s="189" t="s">
        <v>668</v>
      </c>
      <c r="G344" s="209" t="s">
        <v>674</v>
      </c>
      <c r="H344" s="208" t="s">
        <v>67</v>
      </c>
      <c r="I344" s="208">
        <v>13</v>
      </c>
      <c r="J344" s="208">
        <v>8</v>
      </c>
      <c r="K344" s="208" t="s">
        <v>297</v>
      </c>
      <c r="L344" s="205"/>
      <c r="M344" s="193"/>
      <c r="N344" s="193"/>
      <c r="O344" s="193"/>
      <c r="P344" s="193"/>
      <c r="Q344" s="193"/>
      <c r="R344" s="193"/>
      <c r="S344" s="193"/>
      <c r="T344" s="193"/>
      <c r="U344" s="193"/>
      <c r="V344" s="193"/>
      <c r="W344" s="193"/>
      <c r="X344" s="193"/>
      <c r="Y344" s="193"/>
    </row>
    <row r="345" spans="2:25" ht="55.5" hidden="1" customHeight="1" x14ac:dyDescent="0.2">
      <c r="B345" s="222" t="s">
        <v>576</v>
      </c>
      <c r="C345" s="187" t="s">
        <v>664</v>
      </c>
      <c r="D345" s="188"/>
      <c r="E345" s="188"/>
      <c r="F345" s="189" t="s">
        <v>668</v>
      </c>
      <c r="G345" s="209" t="s">
        <v>675</v>
      </c>
      <c r="H345" s="208" t="s">
        <v>67</v>
      </c>
      <c r="I345" s="208">
        <v>0</v>
      </c>
      <c r="J345" s="208">
        <v>1</v>
      </c>
      <c r="K345" s="196" t="s">
        <v>225</v>
      </c>
      <c r="L345" s="205"/>
      <c r="M345" s="199">
        <v>1</v>
      </c>
      <c r="N345" s="206">
        <v>1</v>
      </c>
      <c r="O345" s="199">
        <v>1</v>
      </c>
      <c r="P345" s="199">
        <v>1</v>
      </c>
      <c r="Q345" s="199"/>
      <c r="R345" s="193"/>
      <c r="S345" s="193"/>
      <c r="T345" s="193"/>
      <c r="U345" s="193"/>
      <c r="V345" s="193"/>
      <c r="W345" s="193"/>
      <c r="X345" s="193"/>
      <c r="Y345" s="193"/>
    </row>
    <row r="346" spans="2:25" ht="54" hidden="1" customHeight="1" x14ac:dyDescent="0.2">
      <c r="B346" s="222" t="s">
        <v>576</v>
      </c>
      <c r="C346" s="187" t="s">
        <v>664</v>
      </c>
      <c r="D346" s="188"/>
      <c r="E346" s="188"/>
      <c r="F346" s="189" t="s">
        <v>668</v>
      </c>
      <c r="G346" s="209" t="s">
        <v>676</v>
      </c>
      <c r="H346" s="208" t="s">
        <v>67</v>
      </c>
      <c r="I346" s="208">
        <v>0</v>
      </c>
      <c r="J346" s="208">
        <v>1</v>
      </c>
      <c r="K346" s="196" t="s">
        <v>225</v>
      </c>
      <c r="L346" s="205"/>
      <c r="M346" s="199">
        <v>1</v>
      </c>
      <c r="N346" s="206">
        <v>1</v>
      </c>
      <c r="O346" s="199">
        <v>1</v>
      </c>
      <c r="P346" s="199">
        <v>1</v>
      </c>
      <c r="Q346" s="199"/>
      <c r="R346" s="193"/>
      <c r="S346" s="193"/>
      <c r="T346" s="193"/>
      <c r="U346" s="193"/>
      <c r="V346" s="193"/>
      <c r="W346" s="193"/>
      <c r="X346" s="193"/>
      <c r="Y346" s="193"/>
    </row>
    <row r="347" spans="2:25" ht="31.15" hidden="1" customHeight="1" x14ac:dyDescent="0.2">
      <c r="B347" s="222" t="s">
        <v>576</v>
      </c>
      <c r="C347" s="187" t="s">
        <v>664</v>
      </c>
      <c r="D347" s="188"/>
      <c r="E347" s="188"/>
      <c r="F347" s="189" t="s">
        <v>668</v>
      </c>
      <c r="G347" s="209" t="s">
        <v>677</v>
      </c>
      <c r="H347" s="208" t="s">
        <v>67</v>
      </c>
      <c r="I347" s="208">
        <v>0</v>
      </c>
      <c r="J347" s="208">
        <v>1</v>
      </c>
      <c r="K347" s="196" t="s">
        <v>225</v>
      </c>
      <c r="L347" s="205"/>
      <c r="M347" s="199">
        <v>1</v>
      </c>
      <c r="N347" s="206">
        <v>1</v>
      </c>
      <c r="O347" s="199">
        <v>1</v>
      </c>
      <c r="P347" s="199">
        <v>1</v>
      </c>
      <c r="Q347" s="199"/>
      <c r="R347" s="193"/>
      <c r="S347" s="193"/>
      <c r="T347" s="193"/>
      <c r="U347" s="193"/>
      <c r="V347" s="193"/>
      <c r="W347" s="193"/>
      <c r="X347" s="193"/>
      <c r="Y347" s="193"/>
    </row>
    <row r="348" spans="2:25" ht="48" hidden="1" customHeight="1" x14ac:dyDescent="0.2">
      <c r="B348" s="222" t="s">
        <v>576</v>
      </c>
      <c r="C348" s="187" t="s">
        <v>664</v>
      </c>
      <c r="D348" s="188"/>
      <c r="E348" s="188"/>
      <c r="F348" s="207" t="s">
        <v>678</v>
      </c>
      <c r="G348" s="209" t="s">
        <v>679</v>
      </c>
      <c r="H348" s="208" t="s">
        <v>67</v>
      </c>
      <c r="I348" s="208">
        <v>5</v>
      </c>
      <c r="J348" s="208">
        <v>12</v>
      </c>
      <c r="K348" s="208" t="s">
        <v>645</v>
      </c>
      <c r="L348" s="205"/>
      <c r="M348" s="193"/>
      <c r="N348" s="193"/>
      <c r="O348" s="193"/>
      <c r="P348" s="193"/>
      <c r="Q348" s="193"/>
      <c r="R348" s="193"/>
      <c r="S348" s="193"/>
      <c r="T348" s="193"/>
      <c r="U348" s="193"/>
      <c r="V348" s="193"/>
      <c r="W348" s="193"/>
      <c r="X348" s="193"/>
      <c r="Y348" s="193"/>
    </row>
    <row r="349" spans="2:25" ht="56.25" hidden="1" customHeight="1" x14ac:dyDescent="0.2">
      <c r="B349" s="222" t="s">
        <v>576</v>
      </c>
      <c r="C349" s="187" t="s">
        <v>664</v>
      </c>
      <c r="D349" s="188"/>
      <c r="E349" s="188"/>
      <c r="F349" s="207" t="s">
        <v>678</v>
      </c>
      <c r="G349" s="209" t="s">
        <v>680</v>
      </c>
      <c r="H349" s="208" t="s">
        <v>67</v>
      </c>
      <c r="I349" s="208">
        <v>30</v>
      </c>
      <c r="J349" s="208">
        <v>35</v>
      </c>
      <c r="K349" s="208" t="s">
        <v>645</v>
      </c>
      <c r="L349" s="205"/>
      <c r="M349" s="193"/>
      <c r="N349" s="193"/>
      <c r="O349" s="193"/>
      <c r="P349" s="193"/>
      <c r="Q349" s="193"/>
      <c r="R349" s="193"/>
      <c r="S349" s="193"/>
      <c r="T349" s="193"/>
      <c r="U349" s="193"/>
      <c r="V349" s="193"/>
      <c r="W349" s="193"/>
      <c r="X349" s="193"/>
      <c r="Y349" s="193"/>
    </row>
    <row r="350" spans="2:25" ht="51.75" hidden="1" customHeight="1" x14ac:dyDescent="0.2">
      <c r="B350" s="222" t="s">
        <v>576</v>
      </c>
      <c r="C350" s="187" t="s">
        <v>664</v>
      </c>
      <c r="D350" s="188"/>
      <c r="E350" s="188"/>
      <c r="F350" s="207" t="s">
        <v>678</v>
      </c>
      <c r="G350" s="209" t="s">
        <v>681</v>
      </c>
      <c r="H350" s="208" t="s">
        <v>67</v>
      </c>
      <c r="I350" s="208">
        <v>0</v>
      </c>
      <c r="J350" s="208">
        <v>5</v>
      </c>
      <c r="K350" s="208" t="s">
        <v>645</v>
      </c>
      <c r="L350" s="205"/>
      <c r="M350" s="193"/>
      <c r="N350" s="193"/>
      <c r="O350" s="193"/>
      <c r="P350" s="193"/>
      <c r="Q350" s="193"/>
      <c r="R350" s="193"/>
      <c r="S350" s="193"/>
      <c r="T350" s="193"/>
      <c r="U350" s="193"/>
      <c r="V350" s="193"/>
      <c r="W350" s="193"/>
      <c r="X350" s="193"/>
      <c r="Y350" s="193"/>
    </row>
    <row r="351" spans="2:25" ht="47.25" hidden="1" customHeight="1" x14ac:dyDescent="0.2">
      <c r="B351" s="222" t="s">
        <v>576</v>
      </c>
      <c r="C351" s="187" t="s">
        <v>664</v>
      </c>
      <c r="D351" s="188"/>
      <c r="E351" s="188"/>
      <c r="F351" s="207" t="s">
        <v>678</v>
      </c>
      <c r="G351" s="209" t="s">
        <v>682</v>
      </c>
      <c r="H351" s="208" t="s">
        <v>67</v>
      </c>
      <c r="I351" s="208">
        <v>0</v>
      </c>
      <c r="J351" s="208">
        <v>1</v>
      </c>
      <c r="K351" s="208" t="s">
        <v>645</v>
      </c>
      <c r="L351" s="205"/>
      <c r="M351" s="193"/>
      <c r="N351" s="193"/>
      <c r="O351" s="193"/>
      <c r="P351" s="193"/>
      <c r="Q351" s="193"/>
      <c r="R351" s="193"/>
      <c r="S351" s="193"/>
      <c r="T351" s="193"/>
      <c r="U351" s="193"/>
      <c r="V351" s="193"/>
      <c r="W351" s="193"/>
      <c r="X351" s="193"/>
      <c r="Y351" s="193"/>
    </row>
    <row r="352" spans="2:25" ht="75" hidden="1" customHeight="1" x14ac:dyDescent="0.2">
      <c r="B352" s="222" t="s">
        <v>576</v>
      </c>
      <c r="C352" s="187" t="s">
        <v>664</v>
      </c>
      <c r="D352" s="188"/>
      <c r="E352" s="188"/>
      <c r="F352" s="207" t="s">
        <v>678</v>
      </c>
      <c r="G352" s="209" t="s">
        <v>683</v>
      </c>
      <c r="H352" s="208" t="s">
        <v>67</v>
      </c>
      <c r="I352" s="208">
        <v>0</v>
      </c>
      <c r="J352" s="208">
        <v>1</v>
      </c>
      <c r="K352" s="208" t="s">
        <v>645</v>
      </c>
      <c r="L352" s="205"/>
      <c r="M352" s="193"/>
      <c r="N352" s="193"/>
      <c r="O352" s="193"/>
      <c r="P352" s="193"/>
      <c r="Q352" s="193"/>
      <c r="R352" s="193"/>
      <c r="S352" s="193"/>
      <c r="T352" s="193"/>
      <c r="U352" s="193"/>
      <c r="V352" s="193"/>
      <c r="W352" s="193"/>
      <c r="X352" s="193"/>
      <c r="Y352" s="193"/>
    </row>
    <row r="353" spans="2:25" ht="60" hidden="1" customHeight="1" x14ac:dyDescent="0.2">
      <c r="B353" s="187" t="s">
        <v>684</v>
      </c>
      <c r="C353" s="187" t="s">
        <v>685</v>
      </c>
      <c r="D353" s="188"/>
      <c r="E353" s="188"/>
      <c r="F353" s="189" t="s">
        <v>686</v>
      </c>
      <c r="G353" s="209" t="s">
        <v>687</v>
      </c>
      <c r="H353" s="208" t="s">
        <v>67</v>
      </c>
      <c r="I353" s="208">
        <v>1</v>
      </c>
      <c r="J353" s="208">
        <v>1</v>
      </c>
      <c r="K353" s="208" t="s">
        <v>688</v>
      </c>
      <c r="L353" s="205"/>
      <c r="M353" s="193"/>
      <c r="N353" s="193"/>
      <c r="O353" s="193"/>
      <c r="P353" s="193"/>
      <c r="Q353" s="193"/>
      <c r="R353" s="193"/>
      <c r="S353" s="193"/>
      <c r="T353" s="193"/>
      <c r="U353" s="193"/>
      <c r="V353" s="193"/>
      <c r="W353" s="193"/>
      <c r="X353" s="193"/>
      <c r="Y353" s="193"/>
    </row>
    <row r="354" spans="2:25" ht="60" hidden="1" customHeight="1" x14ac:dyDescent="0.2">
      <c r="B354" s="187" t="s">
        <v>684</v>
      </c>
      <c r="C354" s="187" t="s">
        <v>685</v>
      </c>
      <c r="D354" s="188"/>
      <c r="E354" s="188"/>
      <c r="F354" s="189" t="s">
        <v>686</v>
      </c>
      <c r="G354" s="209" t="s">
        <v>689</v>
      </c>
      <c r="H354" s="208" t="s">
        <v>67</v>
      </c>
      <c r="I354" s="208">
        <v>1</v>
      </c>
      <c r="J354" s="208">
        <v>2</v>
      </c>
      <c r="K354" s="208" t="s">
        <v>688</v>
      </c>
      <c r="L354" s="205"/>
      <c r="M354" s="193"/>
      <c r="N354" s="193"/>
      <c r="O354" s="193"/>
      <c r="P354" s="193"/>
      <c r="Q354" s="193"/>
      <c r="R354" s="193"/>
      <c r="S354" s="193"/>
      <c r="T354" s="193"/>
      <c r="U354" s="193"/>
      <c r="V354" s="193"/>
      <c r="W354" s="193"/>
      <c r="X354" s="193"/>
      <c r="Y354" s="193"/>
    </row>
    <row r="355" spans="2:25" ht="60" hidden="1" customHeight="1" x14ac:dyDescent="0.2">
      <c r="B355" s="187" t="s">
        <v>684</v>
      </c>
      <c r="C355" s="187" t="s">
        <v>685</v>
      </c>
      <c r="D355" s="188"/>
      <c r="E355" s="188"/>
      <c r="F355" s="189" t="s">
        <v>686</v>
      </c>
      <c r="G355" s="209" t="s">
        <v>690</v>
      </c>
      <c r="H355" s="208" t="s">
        <v>67</v>
      </c>
      <c r="I355" s="208">
        <v>219</v>
      </c>
      <c r="J355" s="208">
        <v>222</v>
      </c>
      <c r="K355" s="208" t="s">
        <v>688</v>
      </c>
      <c r="L355" s="205"/>
      <c r="M355" s="193"/>
      <c r="N355" s="193"/>
      <c r="O355" s="193"/>
      <c r="P355" s="193"/>
      <c r="Q355" s="193"/>
      <c r="R355" s="193"/>
      <c r="S355" s="193"/>
      <c r="T355" s="193"/>
      <c r="U355" s="193"/>
      <c r="V355" s="193"/>
      <c r="W355" s="193"/>
      <c r="X355" s="193"/>
      <c r="Y355" s="193"/>
    </row>
    <row r="356" spans="2:25" ht="60" hidden="1" customHeight="1" x14ac:dyDescent="0.2">
      <c r="B356" s="187" t="s">
        <v>684</v>
      </c>
      <c r="C356" s="187" t="s">
        <v>685</v>
      </c>
      <c r="D356" s="188"/>
      <c r="E356" s="188"/>
      <c r="F356" s="189" t="s">
        <v>686</v>
      </c>
      <c r="G356" s="209" t="s">
        <v>691</v>
      </c>
      <c r="H356" s="208" t="s">
        <v>67</v>
      </c>
      <c r="I356" s="208">
        <v>453</v>
      </c>
      <c r="J356" s="208">
        <v>454</v>
      </c>
      <c r="K356" s="208" t="s">
        <v>688</v>
      </c>
      <c r="L356" s="205"/>
      <c r="M356" s="193"/>
      <c r="N356" s="193"/>
      <c r="O356" s="193"/>
      <c r="P356" s="193"/>
      <c r="Q356" s="193"/>
      <c r="R356" s="193"/>
      <c r="S356" s="193"/>
      <c r="T356" s="193"/>
      <c r="U356" s="193"/>
      <c r="V356" s="193"/>
      <c r="W356" s="193"/>
      <c r="X356" s="193"/>
      <c r="Y356" s="193"/>
    </row>
    <row r="357" spans="2:25" ht="72.75" hidden="1" customHeight="1" x14ac:dyDescent="0.2">
      <c r="B357" s="187" t="s">
        <v>684</v>
      </c>
      <c r="C357" s="187" t="s">
        <v>685</v>
      </c>
      <c r="D357" s="188"/>
      <c r="E357" s="188"/>
      <c r="F357" s="189" t="s">
        <v>686</v>
      </c>
      <c r="G357" s="209" t="s">
        <v>692</v>
      </c>
      <c r="H357" s="208" t="s">
        <v>67</v>
      </c>
      <c r="I357" s="208">
        <v>1</v>
      </c>
      <c r="J357" s="208">
        <v>1</v>
      </c>
      <c r="K357" s="196" t="s">
        <v>225</v>
      </c>
      <c r="L357" s="205"/>
      <c r="M357" s="199">
        <v>1</v>
      </c>
      <c r="N357" s="206">
        <v>1</v>
      </c>
      <c r="O357" s="199">
        <v>1</v>
      </c>
      <c r="P357" s="199">
        <v>1</v>
      </c>
      <c r="Q357" s="199"/>
      <c r="R357" s="193"/>
      <c r="S357" s="193"/>
      <c r="T357" s="193"/>
      <c r="U357" s="193"/>
      <c r="V357" s="193"/>
      <c r="W357" s="193"/>
      <c r="X357" s="193"/>
      <c r="Y357" s="193"/>
    </row>
    <row r="358" spans="2:25" ht="60" hidden="1" customHeight="1" x14ac:dyDescent="0.2">
      <c r="B358" s="187" t="s">
        <v>684</v>
      </c>
      <c r="C358" s="187" t="s">
        <v>685</v>
      </c>
      <c r="D358" s="188"/>
      <c r="E358" s="188"/>
      <c r="F358" s="189" t="s">
        <v>686</v>
      </c>
      <c r="G358" s="209" t="s">
        <v>693</v>
      </c>
      <c r="H358" s="208" t="s">
        <v>67</v>
      </c>
      <c r="I358" s="208">
        <v>171</v>
      </c>
      <c r="J358" s="208">
        <v>605</v>
      </c>
      <c r="K358" s="208" t="s">
        <v>694</v>
      </c>
      <c r="L358" s="205"/>
      <c r="M358" s="193"/>
      <c r="N358" s="193"/>
      <c r="O358" s="193"/>
      <c r="P358" s="193"/>
      <c r="Q358" s="193"/>
      <c r="R358" s="193"/>
      <c r="S358" s="193"/>
      <c r="T358" s="193"/>
      <c r="U358" s="193"/>
      <c r="V358" s="193"/>
      <c r="W358" s="193"/>
      <c r="X358" s="193"/>
      <c r="Y358" s="193"/>
    </row>
    <row r="359" spans="2:25" ht="45" hidden="1" customHeight="1" x14ac:dyDescent="0.2">
      <c r="B359" s="187" t="s">
        <v>684</v>
      </c>
      <c r="C359" s="187" t="s">
        <v>685</v>
      </c>
      <c r="D359" s="188"/>
      <c r="E359" s="188"/>
      <c r="F359" s="189" t="s">
        <v>686</v>
      </c>
      <c r="G359" s="209" t="s">
        <v>695</v>
      </c>
      <c r="H359" s="208" t="s">
        <v>67</v>
      </c>
      <c r="I359" s="208">
        <v>0</v>
      </c>
      <c r="J359" s="208">
        <v>1</v>
      </c>
      <c r="K359" s="208" t="s">
        <v>694</v>
      </c>
      <c r="L359" s="205"/>
      <c r="M359" s="193"/>
      <c r="N359" s="193"/>
      <c r="O359" s="193"/>
      <c r="P359" s="193"/>
      <c r="Q359" s="193"/>
      <c r="R359" s="193"/>
      <c r="S359" s="193"/>
      <c r="T359" s="193"/>
      <c r="U359" s="193"/>
      <c r="V359" s="193"/>
      <c r="W359" s="193"/>
      <c r="X359" s="193"/>
      <c r="Y359" s="193"/>
    </row>
    <row r="360" spans="2:25" ht="45.75" hidden="1" customHeight="1" x14ac:dyDescent="0.2">
      <c r="B360" s="187" t="s">
        <v>684</v>
      </c>
      <c r="C360" s="187" t="s">
        <v>685</v>
      </c>
      <c r="D360" s="188"/>
      <c r="E360" s="188"/>
      <c r="F360" s="189" t="s">
        <v>686</v>
      </c>
      <c r="G360" s="209" t="s">
        <v>696</v>
      </c>
      <c r="H360" s="208" t="s">
        <v>67</v>
      </c>
      <c r="I360" s="208">
        <v>0</v>
      </c>
      <c r="J360" s="208">
        <v>1</v>
      </c>
      <c r="K360" s="208" t="s">
        <v>697</v>
      </c>
      <c r="L360" s="205"/>
      <c r="M360" s="193"/>
      <c r="N360" s="193"/>
      <c r="O360" s="193"/>
      <c r="P360" s="193"/>
      <c r="Q360" s="193"/>
      <c r="R360" s="193"/>
      <c r="S360" s="193"/>
      <c r="T360" s="193"/>
      <c r="U360" s="193"/>
      <c r="V360" s="193"/>
      <c r="W360" s="193"/>
      <c r="X360" s="193"/>
      <c r="Y360" s="193"/>
    </row>
    <row r="361" spans="2:25" ht="31.15" hidden="1" customHeight="1" x14ac:dyDescent="0.2">
      <c r="B361" s="187" t="s">
        <v>684</v>
      </c>
      <c r="C361" s="187" t="s">
        <v>685</v>
      </c>
      <c r="D361" s="188"/>
      <c r="E361" s="188"/>
      <c r="F361" s="189" t="s">
        <v>686</v>
      </c>
      <c r="G361" s="209" t="s">
        <v>698</v>
      </c>
      <c r="H361" s="208" t="s">
        <v>67</v>
      </c>
      <c r="I361" s="208">
        <v>0</v>
      </c>
      <c r="J361" s="208">
        <v>1</v>
      </c>
      <c r="K361" s="196" t="s">
        <v>225</v>
      </c>
      <c r="L361" s="205"/>
      <c r="M361" s="199">
        <v>1</v>
      </c>
      <c r="N361" s="206">
        <v>1</v>
      </c>
      <c r="O361" s="199">
        <v>1</v>
      </c>
      <c r="P361" s="199">
        <v>1</v>
      </c>
      <c r="Q361" s="199"/>
      <c r="R361" s="193"/>
      <c r="S361" s="193"/>
      <c r="T361" s="193"/>
      <c r="U361" s="193"/>
      <c r="V361" s="193"/>
      <c r="W361" s="193"/>
      <c r="X361" s="193"/>
      <c r="Y361" s="193"/>
    </row>
    <row r="362" spans="2:25" ht="60" hidden="1" customHeight="1" x14ac:dyDescent="0.2">
      <c r="B362" s="187" t="s">
        <v>684</v>
      </c>
      <c r="C362" s="187" t="s">
        <v>685</v>
      </c>
      <c r="D362" s="188"/>
      <c r="E362" s="188"/>
      <c r="F362" s="189" t="s">
        <v>686</v>
      </c>
      <c r="G362" s="209" t="s">
        <v>699</v>
      </c>
      <c r="H362" s="208" t="s">
        <v>67</v>
      </c>
      <c r="I362" s="208">
        <v>1</v>
      </c>
      <c r="J362" s="208">
        <v>1</v>
      </c>
      <c r="K362" s="208" t="s">
        <v>700</v>
      </c>
      <c r="L362" s="205"/>
      <c r="M362" s="193"/>
      <c r="N362" s="193"/>
      <c r="O362" s="193"/>
      <c r="P362" s="193"/>
      <c r="Q362" s="193"/>
      <c r="R362" s="193"/>
      <c r="S362" s="193"/>
      <c r="T362" s="193"/>
      <c r="U362" s="193"/>
      <c r="V362" s="193"/>
      <c r="W362" s="193"/>
      <c r="X362" s="193"/>
      <c r="Y362" s="193"/>
    </row>
    <row r="363" spans="2:25" ht="45" hidden="1" customHeight="1" x14ac:dyDescent="0.2">
      <c r="B363" s="187" t="s">
        <v>684</v>
      </c>
      <c r="C363" s="187" t="s">
        <v>685</v>
      </c>
      <c r="D363" s="188"/>
      <c r="E363" s="188"/>
      <c r="F363" s="189" t="s">
        <v>686</v>
      </c>
      <c r="G363" s="209" t="s">
        <v>701</v>
      </c>
      <c r="H363" s="208" t="s">
        <v>67</v>
      </c>
      <c r="I363" s="208">
        <v>0</v>
      </c>
      <c r="J363" s="208">
        <v>1</v>
      </c>
      <c r="K363" s="196" t="s">
        <v>225</v>
      </c>
      <c r="L363" s="205"/>
      <c r="M363" s="199">
        <v>1</v>
      </c>
      <c r="N363" s="199">
        <v>1</v>
      </c>
      <c r="O363" s="245">
        <v>1</v>
      </c>
      <c r="P363" s="245">
        <v>1</v>
      </c>
      <c r="Q363" s="245"/>
      <c r="R363" s="193"/>
      <c r="S363" s="193"/>
      <c r="T363" s="193"/>
      <c r="U363" s="193"/>
      <c r="V363" s="193"/>
      <c r="W363" s="193"/>
      <c r="X363" s="193"/>
      <c r="Y363" s="193"/>
    </row>
    <row r="364" spans="2:25" ht="45" hidden="1" customHeight="1" x14ac:dyDescent="0.2">
      <c r="B364" s="187" t="s">
        <v>684</v>
      </c>
      <c r="C364" s="187" t="s">
        <v>685</v>
      </c>
      <c r="D364" s="188"/>
      <c r="E364" s="188"/>
      <c r="F364" s="189" t="s">
        <v>686</v>
      </c>
      <c r="G364" s="209" t="s">
        <v>702</v>
      </c>
      <c r="H364" s="208" t="s">
        <v>67</v>
      </c>
      <c r="I364" s="208">
        <v>0</v>
      </c>
      <c r="J364" s="208">
        <v>1</v>
      </c>
      <c r="K364" s="196" t="s">
        <v>225</v>
      </c>
      <c r="L364" s="205"/>
      <c r="M364" s="199">
        <v>1</v>
      </c>
      <c r="N364" s="199">
        <v>1</v>
      </c>
      <c r="O364" s="245">
        <v>1</v>
      </c>
      <c r="P364" s="245">
        <v>1</v>
      </c>
      <c r="Q364" s="245"/>
      <c r="R364" s="193"/>
      <c r="S364" s="193"/>
      <c r="T364" s="193"/>
      <c r="U364" s="193"/>
      <c r="V364" s="193"/>
      <c r="W364" s="193"/>
      <c r="X364" s="193"/>
      <c r="Y364" s="193"/>
    </row>
    <row r="365" spans="2:25" ht="45" hidden="1" customHeight="1" x14ac:dyDescent="0.2">
      <c r="B365" s="187" t="s">
        <v>684</v>
      </c>
      <c r="C365" s="187" t="s">
        <v>685</v>
      </c>
      <c r="D365" s="188"/>
      <c r="E365" s="188"/>
      <c r="F365" s="189" t="s">
        <v>686</v>
      </c>
      <c r="G365" s="209" t="s">
        <v>703</v>
      </c>
      <c r="H365" s="208" t="s">
        <v>67</v>
      </c>
      <c r="I365" s="208">
        <v>0</v>
      </c>
      <c r="J365" s="208">
        <v>1</v>
      </c>
      <c r="K365" s="196" t="s">
        <v>225</v>
      </c>
      <c r="L365" s="205"/>
      <c r="M365" s="199">
        <v>1</v>
      </c>
      <c r="N365" s="199">
        <v>1</v>
      </c>
      <c r="O365" s="245">
        <v>1</v>
      </c>
      <c r="P365" s="245">
        <v>1</v>
      </c>
      <c r="Q365" s="245"/>
      <c r="R365" s="193"/>
      <c r="S365" s="193"/>
      <c r="T365" s="193"/>
      <c r="U365" s="193"/>
      <c r="V365" s="193"/>
      <c r="W365" s="193"/>
      <c r="X365" s="193"/>
      <c r="Y365" s="193"/>
    </row>
    <row r="366" spans="2:25" ht="45" hidden="1" customHeight="1" x14ac:dyDescent="0.2">
      <c r="B366" s="187" t="s">
        <v>684</v>
      </c>
      <c r="C366" s="187" t="s">
        <v>685</v>
      </c>
      <c r="D366" s="188"/>
      <c r="E366" s="188"/>
      <c r="F366" s="189" t="s">
        <v>686</v>
      </c>
      <c r="G366" s="209" t="s">
        <v>704</v>
      </c>
      <c r="H366" s="208" t="s">
        <v>67</v>
      </c>
      <c r="I366" s="208">
        <v>0</v>
      </c>
      <c r="J366" s="208">
        <v>3</v>
      </c>
      <c r="K366" s="196" t="s">
        <v>225</v>
      </c>
      <c r="L366" s="205"/>
      <c r="M366" s="199">
        <v>1</v>
      </c>
      <c r="N366" s="199">
        <v>1</v>
      </c>
      <c r="O366" s="245">
        <v>1</v>
      </c>
      <c r="P366" s="245">
        <v>1</v>
      </c>
      <c r="Q366" s="245"/>
      <c r="R366" s="193"/>
      <c r="S366" s="193"/>
      <c r="T366" s="193"/>
      <c r="U366" s="193"/>
      <c r="V366" s="193"/>
      <c r="W366" s="193"/>
      <c r="X366" s="193"/>
      <c r="Y366" s="193"/>
    </row>
    <row r="367" spans="2:25" ht="60" hidden="1" customHeight="1" x14ac:dyDescent="0.2">
      <c r="B367" s="187" t="s">
        <v>684</v>
      </c>
      <c r="C367" s="187" t="s">
        <v>685</v>
      </c>
      <c r="D367" s="188"/>
      <c r="E367" s="188"/>
      <c r="F367" s="189" t="s">
        <v>686</v>
      </c>
      <c r="G367" s="209" t="s">
        <v>705</v>
      </c>
      <c r="H367" s="208" t="s">
        <v>67</v>
      </c>
      <c r="I367" s="208">
        <v>0</v>
      </c>
      <c r="J367" s="208">
        <v>1</v>
      </c>
      <c r="K367" s="196" t="s">
        <v>225</v>
      </c>
      <c r="L367" s="205"/>
      <c r="M367" s="199">
        <v>1</v>
      </c>
      <c r="N367" s="199">
        <v>1</v>
      </c>
      <c r="O367" s="245">
        <v>1</v>
      </c>
      <c r="P367" s="245">
        <v>1</v>
      </c>
      <c r="Q367" s="245"/>
      <c r="R367" s="193"/>
      <c r="S367" s="193"/>
      <c r="T367" s="193"/>
      <c r="U367" s="193"/>
      <c r="V367" s="193"/>
      <c r="W367" s="193"/>
      <c r="X367" s="193"/>
      <c r="Y367" s="193"/>
    </row>
    <row r="368" spans="2:25" ht="75" hidden="1" customHeight="1" x14ac:dyDescent="0.2">
      <c r="B368" s="187" t="s">
        <v>684</v>
      </c>
      <c r="C368" s="187" t="s">
        <v>685</v>
      </c>
      <c r="D368" s="188"/>
      <c r="E368" s="188"/>
      <c r="F368" s="189" t="s">
        <v>686</v>
      </c>
      <c r="G368" s="209" t="s">
        <v>706</v>
      </c>
      <c r="H368" s="208" t="s">
        <v>250</v>
      </c>
      <c r="I368" s="208">
        <v>0</v>
      </c>
      <c r="J368" s="208">
        <v>1</v>
      </c>
      <c r="K368" s="208" t="s">
        <v>225</v>
      </c>
      <c r="L368" s="205"/>
      <c r="M368" s="199">
        <v>1</v>
      </c>
      <c r="N368" s="199"/>
      <c r="O368" s="199"/>
      <c r="P368" s="199"/>
      <c r="Q368" s="199"/>
      <c r="R368" s="193"/>
      <c r="S368" s="193"/>
      <c r="T368" s="193"/>
      <c r="U368" s="193"/>
      <c r="V368" s="193"/>
      <c r="W368" s="193"/>
      <c r="X368" s="193"/>
      <c r="Y368" s="193"/>
    </row>
    <row r="369" spans="2:25" ht="45" hidden="1" customHeight="1" x14ac:dyDescent="0.2">
      <c r="B369" s="187" t="s">
        <v>684</v>
      </c>
      <c r="C369" s="187" t="s">
        <v>685</v>
      </c>
      <c r="D369" s="188"/>
      <c r="E369" s="188"/>
      <c r="F369" s="189" t="s">
        <v>686</v>
      </c>
      <c r="G369" s="209" t="s">
        <v>707</v>
      </c>
      <c r="H369" s="208" t="s">
        <v>67</v>
      </c>
      <c r="I369" s="208">
        <v>0</v>
      </c>
      <c r="J369" s="208">
        <v>26</v>
      </c>
      <c r="K369" s="196" t="s">
        <v>225</v>
      </c>
      <c r="L369" s="205"/>
      <c r="M369" s="199"/>
      <c r="N369" s="244"/>
      <c r="O369" s="193"/>
      <c r="P369" s="193"/>
      <c r="Q369" s="193"/>
      <c r="R369" s="193"/>
      <c r="S369" s="193"/>
      <c r="T369" s="193"/>
      <c r="U369" s="193"/>
      <c r="V369" s="193"/>
      <c r="W369" s="193"/>
      <c r="X369" s="193"/>
      <c r="Y369" s="193"/>
    </row>
    <row r="370" spans="2:25" ht="45" hidden="1" customHeight="1" x14ac:dyDescent="0.2">
      <c r="B370" s="187" t="s">
        <v>684</v>
      </c>
      <c r="C370" s="187" t="s">
        <v>685</v>
      </c>
      <c r="D370" s="188"/>
      <c r="E370" s="188"/>
      <c r="F370" s="189" t="s">
        <v>686</v>
      </c>
      <c r="G370" s="209" t="s">
        <v>708</v>
      </c>
      <c r="H370" s="208" t="s">
        <v>67</v>
      </c>
      <c r="I370" s="208">
        <v>0</v>
      </c>
      <c r="J370" s="208">
        <v>1</v>
      </c>
      <c r="K370" s="196" t="s">
        <v>225</v>
      </c>
      <c r="L370" s="205"/>
      <c r="M370" s="199"/>
      <c r="N370" s="244"/>
      <c r="O370" s="193"/>
      <c r="P370" s="193"/>
      <c r="Q370" s="193"/>
      <c r="R370" s="193"/>
      <c r="S370" s="193"/>
      <c r="T370" s="193"/>
      <c r="U370" s="193"/>
      <c r="V370" s="193"/>
      <c r="W370" s="193"/>
      <c r="X370" s="193"/>
      <c r="Y370" s="193"/>
    </row>
    <row r="371" spans="2:25" ht="45" hidden="1" customHeight="1" x14ac:dyDescent="0.2">
      <c r="B371" s="187" t="s">
        <v>684</v>
      </c>
      <c r="C371" s="187" t="s">
        <v>685</v>
      </c>
      <c r="D371" s="188"/>
      <c r="E371" s="188"/>
      <c r="F371" s="189" t="s">
        <v>686</v>
      </c>
      <c r="G371" s="209" t="s">
        <v>709</v>
      </c>
      <c r="H371" s="208" t="s">
        <v>67</v>
      </c>
      <c r="I371" s="208">
        <v>0</v>
      </c>
      <c r="J371" s="208">
        <v>3</v>
      </c>
      <c r="K371" s="208" t="s">
        <v>225</v>
      </c>
      <c r="L371" s="205"/>
      <c r="M371" s="199"/>
      <c r="N371" s="244"/>
      <c r="O371" s="193"/>
      <c r="P371" s="193"/>
      <c r="Q371" s="193"/>
      <c r="R371" s="193"/>
      <c r="S371" s="193"/>
      <c r="T371" s="193"/>
      <c r="U371" s="193"/>
      <c r="V371" s="193"/>
      <c r="W371" s="193"/>
      <c r="X371" s="193"/>
      <c r="Y371" s="193"/>
    </row>
    <row r="372" spans="2:25" ht="31.15" hidden="1" customHeight="1" x14ac:dyDescent="0.2">
      <c r="B372" s="187" t="s">
        <v>684</v>
      </c>
      <c r="C372" s="187" t="s">
        <v>685</v>
      </c>
      <c r="D372" s="188"/>
      <c r="E372" s="188"/>
      <c r="F372" s="189" t="s">
        <v>686</v>
      </c>
      <c r="G372" s="209" t="s">
        <v>710</v>
      </c>
      <c r="H372" s="208" t="s">
        <v>67</v>
      </c>
      <c r="I372" s="208">
        <v>0</v>
      </c>
      <c r="J372" s="208">
        <v>2</v>
      </c>
      <c r="K372" s="196" t="s">
        <v>225</v>
      </c>
      <c r="L372" s="205"/>
      <c r="M372" s="199"/>
      <c r="N372" s="244"/>
      <c r="O372" s="193"/>
      <c r="P372" s="193"/>
      <c r="Q372" s="193"/>
      <c r="R372" s="193"/>
      <c r="S372" s="193"/>
      <c r="T372" s="193"/>
      <c r="U372" s="193"/>
      <c r="V372" s="193"/>
      <c r="W372" s="193"/>
      <c r="X372" s="193"/>
      <c r="Y372" s="193"/>
    </row>
    <row r="373" spans="2:25" ht="60" hidden="1" customHeight="1" x14ac:dyDescent="0.2">
      <c r="B373" s="187" t="s">
        <v>684</v>
      </c>
      <c r="C373" s="187" t="s">
        <v>685</v>
      </c>
      <c r="D373" s="188"/>
      <c r="E373" s="188"/>
      <c r="F373" s="189" t="s">
        <v>686</v>
      </c>
      <c r="G373" s="209" t="s">
        <v>711</v>
      </c>
      <c r="H373" s="208" t="s">
        <v>67</v>
      </c>
      <c r="I373" s="208">
        <v>0</v>
      </c>
      <c r="J373" s="208">
        <v>1</v>
      </c>
      <c r="K373" s="196" t="s">
        <v>225</v>
      </c>
      <c r="L373" s="205"/>
      <c r="M373" s="199"/>
      <c r="N373" s="244"/>
      <c r="O373" s="193"/>
      <c r="P373" s="193"/>
      <c r="Q373" s="193"/>
      <c r="R373" s="193"/>
      <c r="S373" s="193"/>
      <c r="T373" s="193"/>
      <c r="U373" s="193"/>
      <c r="V373" s="193"/>
      <c r="W373" s="193"/>
      <c r="X373" s="193"/>
      <c r="Y373" s="193"/>
    </row>
    <row r="374" spans="2:25" ht="45" hidden="1" customHeight="1" x14ac:dyDescent="0.2">
      <c r="B374" s="187" t="s">
        <v>684</v>
      </c>
      <c r="C374" s="187" t="s">
        <v>685</v>
      </c>
      <c r="D374" s="188"/>
      <c r="E374" s="188"/>
      <c r="F374" s="189" t="s">
        <v>686</v>
      </c>
      <c r="G374" s="209" t="s">
        <v>712</v>
      </c>
      <c r="H374" s="208" t="s">
        <v>67</v>
      </c>
      <c r="I374" s="208">
        <v>0</v>
      </c>
      <c r="J374" s="208">
        <v>1</v>
      </c>
      <c r="K374" s="196" t="s">
        <v>225</v>
      </c>
      <c r="L374" s="205"/>
      <c r="M374" s="199"/>
      <c r="N374" s="244"/>
      <c r="O374" s="193"/>
      <c r="P374" s="193"/>
      <c r="Q374" s="193"/>
      <c r="R374" s="193"/>
      <c r="S374" s="193"/>
      <c r="T374" s="193"/>
      <c r="U374" s="193"/>
      <c r="V374" s="193"/>
      <c r="W374" s="193"/>
      <c r="X374" s="193"/>
      <c r="Y374" s="193"/>
    </row>
    <row r="375" spans="2:25" ht="60" hidden="1" customHeight="1" x14ac:dyDescent="0.2">
      <c r="B375" s="187" t="s">
        <v>684</v>
      </c>
      <c r="C375" s="187" t="s">
        <v>685</v>
      </c>
      <c r="D375" s="188"/>
      <c r="E375" s="188"/>
      <c r="F375" s="189" t="s">
        <v>686</v>
      </c>
      <c r="G375" s="209" t="s">
        <v>713</v>
      </c>
      <c r="H375" s="208" t="s">
        <v>67</v>
      </c>
      <c r="I375" s="208">
        <v>0</v>
      </c>
      <c r="J375" s="208">
        <v>1</v>
      </c>
      <c r="K375" s="196" t="s">
        <v>225</v>
      </c>
      <c r="L375" s="205"/>
      <c r="M375" s="199"/>
      <c r="N375" s="244"/>
      <c r="O375" s="193"/>
      <c r="P375" s="193"/>
      <c r="Q375" s="193"/>
      <c r="R375" s="193"/>
      <c r="S375" s="193"/>
      <c r="T375" s="193"/>
      <c r="U375" s="193"/>
      <c r="V375" s="193"/>
      <c r="W375" s="193"/>
      <c r="X375" s="193"/>
      <c r="Y375" s="193"/>
    </row>
    <row r="376" spans="2:25" ht="60" hidden="1" customHeight="1" x14ac:dyDescent="0.2">
      <c r="B376" s="187" t="s">
        <v>684</v>
      </c>
      <c r="C376" s="187" t="s">
        <v>685</v>
      </c>
      <c r="D376" s="188"/>
      <c r="E376" s="188"/>
      <c r="F376" s="189" t="s">
        <v>686</v>
      </c>
      <c r="G376" s="209" t="s">
        <v>714</v>
      </c>
      <c r="H376" s="208" t="s">
        <v>67</v>
      </c>
      <c r="I376" s="208">
        <v>0</v>
      </c>
      <c r="J376" s="208">
        <v>2</v>
      </c>
      <c r="K376" s="196" t="s">
        <v>225</v>
      </c>
      <c r="L376" s="205"/>
      <c r="M376" s="199"/>
      <c r="N376" s="244"/>
      <c r="O376" s="193"/>
      <c r="P376" s="193"/>
      <c r="Q376" s="193"/>
      <c r="R376" s="193"/>
      <c r="S376" s="193"/>
      <c r="T376" s="193"/>
      <c r="U376" s="193"/>
      <c r="V376" s="193"/>
      <c r="W376" s="193"/>
      <c r="X376" s="193"/>
      <c r="Y376" s="193"/>
    </row>
    <row r="377" spans="2:25" ht="31.15" hidden="1" customHeight="1" x14ac:dyDescent="0.2">
      <c r="B377" s="187" t="s">
        <v>684</v>
      </c>
      <c r="C377" s="187" t="s">
        <v>685</v>
      </c>
      <c r="D377" s="188"/>
      <c r="E377" s="188"/>
      <c r="F377" s="189" t="s">
        <v>686</v>
      </c>
      <c r="G377" s="209" t="s">
        <v>715</v>
      </c>
      <c r="H377" s="208" t="s">
        <v>250</v>
      </c>
      <c r="I377" s="208">
        <v>5</v>
      </c>
      <c r="J377" s="208">
        <v>5</v>
      </c>
      <c r="K377" s="196" t="s">
        <v>225</v>
      </c>
      <c r="L377" s="205"/>
      <c r="M377" s="199"/>
      <c r="N377" s="244"/>
      <c r="O377" s="193"/>
      <c r="P377" s="193"/>
      <c r="Q377" s="193"/>
      <c r="R377" s="193"/>
      <c r="S377" s="193"/>
      <c r="T377" s="193"/>
      <c r="U377" s="193"/>
      <c r="V377" s="193"/>
      <c r="W377" s="193"/>
      <c r="X377" s="193"/>
      <c r="Y377" s="193"/>
    </row>
    <row r="378" spans="2:25" ht="31.15" hidden="1" customHeight="1" x14ac:dyDescent="0.2">
      <c r="B378" s="187" t="s">
        <v>684</v>
      </c>
      <c r="C378" s="187" t="s">
        <v>685</v>
      </c>
      <c r="D378" s="188"/>
      <c r="E378" s="188"/>
      <c r="F378" s="189" t="s">
        <v>686</v>
      </c>
      <c r="G378" s="209" t="s">
        <v>716</v>
      </c>
      <c r="H378" s="208" t="s">
        <v>250</v>
      </c>
      <c r="I378" s="208">
        <v>11</v>
      </c>
      <c r="J378" s="208">
        <v>11</v>
      </c>
      <c r="K378" s="196" t="s">
        <v>225</v>
      </c>
      <c r="L378" s="205"/>
      <c r="M378" s="199"/>
      <c r="N378" s="244"/>
      <c r="O378" s="193"/>
      <c r="P378" s="193"/>
      <c r="Q378" s="193"/>
      <c r="R378" s="193"/>
      <c r="S378" s="193"/>
      <c r="T378" s="193"/>
      <c r="U378" s="193"/>
      <c r="V378" s="193"/>
      <c r="W378" s="193"/>
      <c r="X378" s="193"/>
      <c r="Y378" s="193"/>
    </row>
    <row r="379" spans="2:25" ht="31.15" hidden="1" customHeight="1" x14ac:dyDescent="0.2">
      <c r="B379" s="187" t="s">
        <v>684</v>
      </c>
      <c r="C379" s="187" t="s">
        <v>685</v>
      </c>
      <c r="D379" s="188"/>
      <c r="E379" s="188"/>
      <c r="F379" s="205" t="s">
        <v>717</v>
      </c>
      <c r="G379" s="209" t="s">
        <v>718</v>
      </c>
      <c r="H379" s="208" t="s">
        <v>67</v>
      </c>
      <c r="I379" s="208">
        <v>0</v>
      </c>
      <c r="J379" s="208">
        <v>1</v>
      </c>
      <c r="K379" s="196" t="s">
        <v>225</v>
      </c>
      <c r="L379" s="205"/>
      <c r="M379" s="198">
        <v>0.2</v>
      </c>
      <c r="N379" s="198">
        <v>0.8</v>
      </c>
      <c r="O379" s="198"/>
      <c r="P379" s="193"/>
      <c r="Q379" s="193"/>
      <c r="R379" s="193"/>
      <c r="S379" s="193"/>
      <c r="T379" s="193"/>
      <c r="U379" s="193"/>
      <c r="V379" s="193"/>
      <c r="W379" s="193"/>
      <c r="X379" s="193"/>
      <c r="Y379" s="193"/>
    </row>
    <row r="380" spans="2:25" ht="45" hidden="1" customHeight="1" x14ac:dyDescent="0.2">
      <c r="B380" s="187" t="s">
        <v>684</v>
      </c>
      <c r="C380" s="187" t="s">
        <v>685</v>
      </c>
      <c r="D380" s="188"/>
      <c r="E380" s="188"/>
      <c r="F380" s="205" t="s">
        <v>717</v>
      </c>
      <c r="G380" s="209" t="s">
        <v>719</v>
      </c>
      <c r="H380" s="208" t="s">
        <v>67</v>
      </c>
      <c r="I380" s="208">
        <v>3</v>
      </c>
      <c r="J380" s="208">
        <v>2</v>
      </c>
      <c r="K380" s="196" t="s">
        <v>225</v>
      </c>
      <c r="L380" s="205"/>
      <c r="M380" s="199">
        <v>1</v>
      </c>
      <c r="N380" s="199">
        <v>1</v>
      </c>
      <c r="O380" s="199">
        <v>1</v>
      </c>
      <c r="P380" s="199">
        <v>1</v>
      </c>
      <c r="Q380" s="199"/>
      <c r="R380" s="193"/>
      <c r="S380" s="193"/>
      <c r="T380" s="193"/>
      <c r="U380" s="193"/>
      <c r="V380" s="193"/>
      <c r="W380" s="193"/>
      <c r="X380" s="193"/>
      <c r="Y380" s="193"/>
    </row>
    <row r="381" spans="2:25" ht="45" hidden="1" customHeight="1" x14ac:dyDescent="0.2">
      <c r="B381" s="187" t="s">
        <v>684</v>
      </c>
      <c r="C381" s="187" t="s">
        <v>685</v>
      </c>
      <c r="D381" s="188"/>
      <c r="E381" s="188"/>
      <c r="F381" s="205" t="s">
        <v>717</v>
      </c>
      <c r="G381" s="209" t="s">
        <v>720</v>
      </c>
      <c r="H381" s="208" t="s">
        <v>67</v>
      </c>
      <c r="I381" s="208">
        <v>2</v>
      </c>
      <c r="J381" s="208">
        <v>1</v>
      </c>
      <c r="K381" s="196" t="s">
        <v>225</v>
      </c>
      <c r="L381" s="205"/>
      <c r="M381" s="199">
        <v>1</v>
      </c>
      <c r="N381" s="199">
        <v>1</v>
      </c>
      <c r="O381" s="199">
        <v>1</v>
      </c>
      <c r="P381" s="199">
        <v>1</v>
      </c>
      <c r="Q381" s="199"/>
      <c r="R381" s="193"/>
      <c r="S381" s="193"/>
      <c r="T381" s="193"/>
      <c r="U381" s="193"/>
      <c r="V381" s="193"/>
      <c r="W381" s="193"/>
      <c r="X381" s="193"/>
      <c r="Y381" s="193"/>
    </row>
    <row r="382" spans="2:25" ht="31.15" hidden="1" customHeight="1" x14ac:dyDescent="0.2">
      <c r="B382" s="187" t="s">
        <v>684</v>
      </c>
      <c r="C382" s="187" t="s">
        <v>685</v>
      </c>
      <c r="D382" s="188"/>
      <c r="E382" s="188"/>
      <c r="F382" s="205" t="s">
        <v>717</v>
      </c>
      <c r="G382" s="209" t="s">
        <v>721</v>
      </c>
      <c r="H382" s="208" t="s">
        <v>67</v>
      </c>
      <c r="I382" s="208">
        <v>0</v>
      </c>
      <c r="J382" s="208">
        <v>1</v>
      </c>
      <c r="K382" s="196" t="s">
        <v>225</v>
      </c>
      <c r="L382" s="205"/>
      <c r="M382" s="199"/>
      <c r="N382" s="199"/>
      <c r="O382" s="199">
        <v>1</v>
      </c>
      <c r="P382" s="199"/>
      <c r="Q382" s="199"/>
      <c r="R382" s="193"/>
      <c r="S382" s="193"/>
      <c r="T382" s="193"/>
      <c r="U382" s="193"/>
      <c r="V382" s="193"/>
      <c r="W382" s="193"/>
      <c r="X382" s="193"/>
      <c r="Y382" s="193"/>
    </row>
    <row r="383" spans="2:25" ht="45" hidden="1" customHeight="1" x14ac:dyDescent="0.2">
      <c r="B383" s="187" t="s">
        <v>684</v>
      </c>
      <c r="C383" s="187" t="s">
        <v>685</v>
      </c>
      <c r="D383" s="188"/>
      <c r="E383" s="188"/>
      <c r="F383" s="205" t="s">
        <v>717</v>
      </c>
      <c r="G383" s="209" t="s">
        <v>722</v>
      </c>
      <c r="H383" s="208" t="s">
        <v>67</v>
      </c>
      <c r="I383" s="208">
        <v>6</v>
      </c>
      <c r="J383" s="208">
        <v>6</v>
      </c>
      <c r="K383" s="196" t="s">
        <v>225</v>
      </c>
      <c r="L383" s="205"/>
      <c r="M383" s="199"/>
      <c r="N383" s="244"/>
      <c r="O383" s="199">
        <v>6</v>
      </c>
      <c r="P383" s="193"/>
      <c r="Q383" s="193"/>
      <c r="R383" s="193"/>
      <c r="S383" s="193"/>
      <c r="T383" s="193"/>
      <c r="U383" s="193"/>
      <c r="V383" s="193"/>
      <c r="W383" s="193"/>
      <c r="X383" s="193"/>
      <c r="Y383" s="193"/>
    </row>
    <row r="384" spans="2:25" ht="45" hidden="1" customHeight="1" x14ac:dyDescent="0.2">
      <c r="B384" s="187" t="s">
        <v>684</v>
      </c>
      <c r="C384" s="187" t="s">
        <v>685</v>
      </c>
      <c r="D384" s="188"/>
      <c r="E384" s="188"/>
      <c r="F384" s="205" t="s">
        <v>717</v>
      </c>
      <c r="G384" s="209" t="s">
        <v>723</v>
      </c>
      <c r="H384" s="208" t="s">
        <v>67</v>
      </c>
      <c r="I384" s="208">
        <v>0</v>
      </c>
      <c r="J384" s="208">
        <v>1</v>
      </c>
      <c r="K384" s="208" t="s">
        <v>225</v>
      </c>
      <c r="L384" s="205"/>
      <c r="M384" s="199"/>
      <c r="N384" s="244"/>
      <c r="O384" s="193"/>
      <c r="P384" s="193"/>
      <c r="Q384" s="193"/>
      <c r="R384" s="193"/>
      <c r="S384" s="193"/>
      <c r="T384" s="193"/>
      <c r="U384" s="193"/>
      <c r="V384" s="193"/>
      <c r="W384" s="193"/>
      <c r="X384" s="193"/>
      <c r="Y384" s="193"/>
    </row>
    <row r="385" spans="2:25" ht="45" hidden="1" customHeight="1" x14ac:dyDescent="0.2">
      <c r="B385" s="187" t="s">
        <v>684</v>
      </c>
      <c r="C385" s="187" t="s">
        <v>685</v>
      </c>
      <c r="D385" s="188"/>
      <c r="E385" s="188"/>
      <c r="F385" s="205" t="s">
        <v>717</v>
      </c>
      <c r="G385" s="209" t="s">
        <v>724</v>
      </c>
      <c r="H385" s="208" t="s">
        <v>725</v>
      </c>
      <c r="I385" s="208">
        <v>0</v>
      </c>
      <c r="J385" s="208">
        <v>1</v>
      </c>
      <c r="K385" s="196" t="s">
        <v>225</v>
      </c>
      <c r="L385" s="205"/>
      <c r="M385" s="199"/>
      <c r="N385" s="244"/>
      <c r="O385" s="193"/>
      <c r="P385" s="193"/>
      <c r="Q385" s="193"/>
      <c r="R385" s="193"/>
      <c r="S385" s="193"/>
      <c r="T385" s="193"/>
      <c r="U385" s="193"/>
      <c r="V385" s="193"/>
      <c r="W385" s="193"/>
      <c r="X385" s="193"/>
      <c r="Y385" s="193"/>
    </row>
    <row r="386" spans="2:25" ht="45" hidden="1" customHeight="1" x14ac:dyDescent="0.2">
      <c r="B386" s="187" t="s">
        <v>684</v>
      </c>
      <c r="C386" s="187" t="s">
        <v>685</v>
      </c>
      <c r="D386" s="188"/>
      <c r="E386" s="188"/>
      <c r="F386" s="205" t="s">
        <v>717</v>
      </c>
      <c r="G386" s="209" t="s">
        <v>726</v>
      </c>
      <c r="H386" s="208" t="s">
        <v>67</v>
      </c>
      <c r="I386" s="208">
        <v>1</v>
      </c>
      <c r="J386" s="208">
        <v>1</v>
      </c>
      <c r="K386" s="196" t="s">
        <v>225</v>
      </c>
      <c r="L386" s="205"/>
      <c r="M386" s="199">
        <v>1</v>
      </c>
      <c r="N386" s="199">
        <v>1</v>
      </c>
      <c r="O386" s="199">
        <v>1</v>
      </c>
      <c r="P386" s="199">
        <v>1</v>
      </c>
      <c r="Q386" s="199"/>
      <c r="R386" s="193"/>
      <c r="S386" s="193"/>
      <c r="T386" s="193"/>
      <c r="U386" s="193"/>
      <c r="V386" s="193"/>
      <c r="W386" s="193"/>
      <c r="X386" s="193"/>
      <c r="Y386" s="193"/>
    </row>
    <row r="387" spans="2:25" ht="56.25" hidden="1" customHeight="1" x14ac:dyDescent="0.2">
      <c r="B387" s="187" t="s">
        <v>684</v>
      </c>
      <c r="C387" s="187" t="s">
        <v>685</v>
      </c>
      <c r="D387" s="188"/>
      <c r="E387" s="188"/>
      <c r="F387" s="205" t="s">
        <v>717</v>
      </c>
      <c r="G387" s="209" t="s">
        <v>727</v>
      </c>
      <c r="H387" s="208" t="s">
        <v>67</v>
      </c>
      <c r="I387" s="208">
        <v>0</v>
      </c>
      <c r="J387" s="208">
        <v>1</v>
      </c>
      <c r="K387" s="196" t="s">
        <v>225</v>
      </c>
      <c r="L387" s="205"/>
      <c r="M387" s="199"/>
      <c r="N387" s="244"/>
      <c r="O387" s="193"/>
      <c r="P387" s="193"/>
      <c r="Q387" s="193"/>
      <c r="R387" s="193"/>
      <c r="S387" s="193"/>
      <c r="T387" s="193"/>
      <c r="U387" s="193"/>
      <c r="V387" s="193"/>
      <c r="W387" s="193"/>
      <c r="X387" s="193"/>
      <c r="Y387" s="193"/>
    </row>
    <row r="388" spans="2:25" ht="60" hidden="1" customHeight="1" x14ac:dyDescent="0.2">
      <c r="B388" s="187" t="s">
        <v>684</v>
      </c>
      <c r="C388" s="187" t="s">
        <v>685</v>
      </c>
      <c r="D388" s="188"/>
      <c r="E388" s="188"/>
      <c r="F388" s="205" t="s">
        <v>717</v>
      </c>
      <c r="G388" s="209" t="s">
        <v>728</v>
      </c>
      <c r="H388" s="208" t="s">
        <v>67</v>
      </c>
      <c r="I388" s="208">
        <v>0</v>
      </c>
      <c r="J388" s="208">
        <v>1</v>
      </c>
      <c r="K388" s="196" t="s">
        <v>225</v>
      </c>
      <c r="L388" s="205"/>
      <c r="M388" s="199"/>
      <c r="N388" s="244"/>
      <c r="O388" s="193"/>
      <c r="P388" s="193"/>
      <c r="Q388" s="193"/>
      <c r="R388" s="193"/>
      <c r="S388" s="193"/>
      <c r="T388" s="193"/>
      <c r="U388" s="193"/>
      <c r="V388" s="193"/>
      <c r="W388" s="193"/>
      <c r="X388" s="193"/>
      <c r="Y388" s="193"/>
    </row>
    <row r="389" spans="2:25" ht="31.15" hidden="1" customHeight="1" x14ac:dyDescent="0.2">
      <c r="B389" s="187" t="s">
        <v>684</v>
      </c>
      <c r="C389" s="187" t="s">
        <v>685</v>
      </c>
      <c r="D389" s="188"/>
      <c r="E389" s="188"/>
      <c r="F389" s="205" t="s">
        <v>717</v>
      </c>
      <c r="G389" s="209" t="s">
        <v>729</v>
      </c>
      <c r="H389" s="208" t="s">
        <v>67</v>
      </c>
      <c r="I389" s="208">
        <v>0</v>
      </c>
      <c r="J389" s="208">
        <v>1</v>
      </c>
      <c r="K389" s="196" t="s">
        <v>225</v>
      </c>
      <c r="L389" s="205"/>
      <c r="M389" s="199"/>
      <c r="N389" s="244"/>
      <c r="O389" s="193"/>
      <c r="P389" s="193"/>
      <c r="Q389" s="193"/>
      <c r="R389" s="193"/>
      <c r="S389" s="193"/>
      <c r="T389" s="193"/>
      <c r="U389" s="193"/>
      <c r="V389" s="193"/>
      <c r="W389" s="193"/>
      <c r="X389" s="193"/>
      <c r="Y389" s="193"/>
    </row>
    <row r="390" spans="2:25" ht="31.15" hidden="1" customHeight="1" x14ac:dyDescent="0.2">
      <c r="B390" s="187" t="s">
        <v>684</v>
      </c>
      <c r="C390" s="187" t="s">
        <v>685</v>
      </c>
      <c r="D390" s="188"/>
      <c r="E390" s="188"/>
      <c r="F390" s="205" t="s">
        <v>717</v>
      </c>
      <c r="G390" s="209" t="s">
        <v>730</v>
      </c>
      <c r="H390" s="208" t="s">
        <v>67</v>
      </c>
      <c r="I390" s="208">
        <v>0</v>
      </c>
      <c r="J390" s="208">
        <v>1</v>
      </c>
      <c r="K390" s="196" t="s">
        <v>225</v>
      </c>
      <c r="L390" s="205"/>
      <c r="M390" s="199"/>
      <c r="N390" s="244"/>
      <c r="O390" s="193"/>
      <c r="P390" s="193"/>
      <c r="Q390" s="193"/>
      <c r="R390" s="193"/>
      <c r="S390" s="193"/>
      <c r="T390" s="193"/>
      <c r="U390" s="193"/>
      <c r="V390" s="193"/>
      <c r="W390" s="193"/>
      <c r="X390" s="193"/>
      <c r="Y390" s="193"/>
    </row>
    <row r="391" spans="2:25" ht="45" hidden="1" customHeight="1" x14ac:dyDescent="0.2">
      <c r="B391" s="187" t="s">
        <v>684</v>
      </c>
      <c r="C391" s="187" t="s">
        <v>685</v>
      </c>
      <c r="D391" s="188"/>
      <c r="E391" s="188"/>
      <c r="F391" s="205" t="s">
        <v>717</v>
      </c>
      <c r="G391" s="209" t="s">
        <v>731</v>
      </c>
      <c r="H391" s="208" t="s">
        <v>67</v>
      </c>
      <c r="I391" s="208">
        <v>0</v>
      </c>
      <c r="J391" s="208">
        <v>6</v>
      </c>
      <c r="K391" s="196" t="s">
        <v>225</v>
      </c>
      <c r="L391" s="205"/>
      <c r="M391" s="199"/>
      <c r="N391" s="244"/>
      <c r="O391" s="193"/>
      <c r="P391" s="193"/>
      <c r="Q391" s="193"/>
      <c r="R391" s="193"/>
      <c r="S391" s="193"/>
      <c r="T391" s="193"/>
      <c r="U391" s="193"/>
      <c r="V391" s="193"/>
      <c r="W391" s="193"/>
      <c r="X391" s="193"/>
      <c r="Y391" s="193"/>
    </row>
    <row r="392" spans="2:25" ht="42" hidden="1" customHeight="1" x14ac:dyDescent="0.2">
      <c r="B392" s="187" t="s">
        <v>684</v>
      </c>
      <c r="C392" s="187" t="s">
        <v>685</v>
      </c>
      <c r="D392" s="188"/>
      <c r="E392" s="188"/>
      <c r="F392" s="205" t="s">
        <v>717</v>
      </c>
      <c r="G392" s="209" t="s">
        <v>732</v>
      </c>
      <c r="H392" s="208" t="s">
        <v>733</v>
      </c>
      <c r="I392" s="246">
        <v>28737248733</v>
      </c>
      <c r="J392" s="246">
        <v>15000000000</v>
      </c>
      <c r="K392" s="208" t="s">
        <v>734</v>
      </c>
      <c r="L392" s="205"/>
      <c r="M392" s="193"/>
      <c r="N392" s="193"/>
      <c r="O392" s="193"/>
      <c r="P392" s="193"/>
      <c r="Q392" s="193"/>
      <c r="R392" s="193"/>
      <c r="S392" s="193"/>
      <c r="T392" s="193"/>
      <c r="U392" s="193"/>
      <c r="V392" s="193"/>
      <c r="W392" s="193"/>
      <c r="X392" s="193"/>
      <c r="Y392" s="193"/>
    </row>
    <row r="393" spans="2:25" ht="36" hidden="1" customHeight="1" x14ac:dyDescent="0.2">
      <c r="B393" s="187" t="s">
        <v>684</v>
      </c>
      <c r="C393" s="187" t="s">
        <v>685</v>
      </c>
      <c r="D393" s="188"/>
      <c r="E393" s="188"/>
      <c r="F393" s="205" t="s">
        <v>717</v>
      </c>
      <c r="G393" s="209" t="s">
        <v>735</v>
      </c>
      <c r="H393" s="208" t="s">
        <v>67</v>
      </c>
      <c r="I393" s="221">
        <v>3584</v>
      </c>
      <c r="J393" s="221">
        <v>3000</v>
      </c>
      <c r="K393" s="208" t="s">
        <v>734</v>
      </c>
      <c r="L393" s="205"/>
      <c r="M393" s="193"/>
      <c r="N393" s="193"/>
      <c r="O393" s="193"/>
      <c r="P393" s="193"/>
      <c r="Q393" s="193"/>
      <c r="R393" s="193"/>
      <c r="S393" s="193"/>
      <c r="T393" s="193"/>
      <c r="U393" s="193"/>
      <c r="V393" s="193"/>
      <c r="W393" s="193"/>
      <c r="X393" s="193"/>
      <c r="Y393" s="193"/>
    </row>
    <row r="394" spans="2:25" ht="45" hidden="1" customHeight="1" x14ac:dyDescent="0.2">
      <c r="B394" s="187" t="s">
        <v>684</v>
      </c>
      <c r="C394" s="187" t="s">
        <v>685</v>
      </c>
      <c r="D394" s="188"/>
      <c r="E394" s="188"/>
      <c r="F394" s="205" t="s">
        <v>717</v>
      </c>
      <c r="G394" s="209" t="s">
        <v>736</v>
      </c>
      <c r="H394" s="208" t="s">
        <v>67</v>
      </c>
      <c r="I394" s="208">
        <v>1</v>
      </c>
      <c r="J394" s="208">
        <v>1</v>
      </c>
      <c r="K394" s="208" t="s">
        <v>734</v>
      </c>
      <c r="L394" s="205"/>
      <c r="M394" s="193"/>
      <c r="N394" s="193"/>
      <c r="O394" s="193"/>
      <c r="P394" s="193"/>
      <c r="Q394" s="193"/>
      <c r="R394" s="193"/>
      <c r="S394" s="193"/>
      <c r="T394" s="193"/>
      <c r="U394" s="193"/>
      <c r="V394" s="193"/>
      <c r="W394" s="193"/>
      <c r="X394" s="193"/>
      <c r="Y394" s="193"/>
    </row>
    <row r="395" spans="2:25" ht="60" hidden="1" customHeight="1" x14ac:dyDescent="0.2">
      <c r="B395" s="187" t="s">
        <v>684</v>
      </c>
      <c r="C395" s="187" t="s">
        <v>685</v>
      </c>
      <c r="D395" s="188"/>
      <c r="E395" s="188"/>
      <c r="F395" s="205" t="s">
        <v>717</v>
      </c>
      <c r="G395" s="209" t="s">
        <v>737</v>
      </c>
      <c r="H395" s="208" t="s">
        <v>67</v>
      </c>
      <c r="I395" s="221">
        <v>0</v>
      </c>
      <c r="J395" s="221">
        <v>1</v>
      </c>
      <c r="K395" s="196" t="s">
        <v>225</v>
      </c>
      <c r="L395" s="205"/>
      <c r="M395" s="199"/>
      <c r="N395" s="244"/>
      <c r="O395" s="193"/>
      <c r="P395" s="193"/>
      <c r="Q395" s="193"/>
      <c r="R395" s="193"/>
      <c r="S395" s="193"/>
      <c r="T395" s="193"/>
      <c r="U395" s="193"/>
      <c r="V395" s="193"/>
      <c r="W395" s="193"/>
      <c r="X395" s="193"/>
      <c r="Y395" s="193"/>
    </row>
    <row r="396" spans="2:25" ht="75" hidden="1" customHeight="1" x14ac:dyDescent="0.2">
      <c r="B396" s="187" t="s">
        <v>684</v>
      </c>
      <c r="C396" s="187" t="s">
        <v>685</v>
      </c>
      <c r="D396" s="188"/>
      <c r="E396" s="188"/>
      <c r="F396" s="205" t="s">
        <v>717</v>
      </c>
      <c r="G396" s="209" t="s">
        <v>738</v>
      </c>
      <c r="H396" s="208" t="s">
        <v>67</v>
      </c>
      <c r="I396" s="208">
        <v>0</v>
      </c>
      <c r="J396" s="208">
        <v>1</v>
      </c>
      <c r="K396" s="196" t="s">
        <v>225</v>
      </c>
      <c r="L396" s="205"/>
      <c r="M396" s="199"/>
      <c r="N396" s="244"/>
      <c r="O396" s="193"/>
      <c r="P396" s="193"/>
      <c r="Q396" s="193"/>
      <c r="R396" s="193"/>
      <c r="S396" s="193"/>
      <c r="T396" s="193"/>
      <c r="U396" s="193"/>
      <c r="V396" s="193"/>
      <c r="W396" s="193"/>
      <c r="X396" s="193"/>
      <c r="Y396" s="193"/>
    </row>
    <row r="397" spans="2:25" ht="31.15" hidden="1" customHeight="1" x14ac:dyDescent="0.2">
      <c r="B397" s="187" t="s">
        <v>684</v>
      </c>
      <c r="C397" s="187" t="s">
        <v>685</v>
      </c>
      <c r="D397" s="188"/>
      <c r="E397" s="188"/>
      <c r="F397" s="205" t="s">
        <v>717</v>
      </c>
      <c r="G397" s="209" t="s">
        <v>739</v>
      </c>
      <c r="H397" s="208" t="s">
        <v>67</v>
      </c>
      <c r="I397" s="208">
        <v>0</v>
      </c>
      <c r="J397" s="208">
        <v>1</v>
      </c>
      <c r="K397" s="196" t="s">
        <v>225</v>
      </c>
      <c r="L397" s="205"/>
      <c r="M397" s="199"/>
      <c r="N397" s="244"/>
      <c r="O397" s="193"/>
      <c r="P397" s="193"/>
      <c r="Q397" s="193"/>
      <c r="R397" s="193"/>
      <c r="S397" s="193"/>
      <c r="T397" s="193"/>
      <c r="U397" s="193"/>
      <c r="V397" s="193"/>
      <c r="W397" s="193"/>
      <c r="X397" s="193"/>
      <c r="Y397" s="193"/>
    </row>
    <row r="398" spans="2:25" ht="75" hidden="1" customHeight="1" x14ac:dyDescent="0.2">
      <c r="B398" s="187" t="s">
        <v>684</v>
      </c>
      <c r="C398" s="187" t="s">
        <v>685</v>
      </c>
      <c r="D398" s="188"/>
      <c r="E398" s="188"/>
      <c r="F398" s="205" t="s">
        <v>717</v>
      </c>
      <c r="G398" s="209" t="s">
        <v>740</v>
      </c>
      <c r="H398" s="208" t="s">
        <v>67</v>
      </c>
      <c r="I398" s="208">
        <v>0</v>
      </c>
      <c r="J398" s="208">
        <v>1</v>
      </c>
      <c r="K398" s="196" t="s">
        <v>225</v>
      </c>
      <c r="L398" s="205"/>
      <c r="M398" s="199"/>
      <c r="N398" s="244"/>
      <c r="O398" s="193"/>
      <c r="P398" s="193"/>
      <c r="Q398" s="193"/>
      <c r="R398" s="193"/>
      <c r="S398" s="193"/>
      <c r="T398" s="193"/>
      <c r="U398" s="193"/>
      <c r="V398" s="193"/>
      <c r="W398" s="193"/>
      <c r="X398" s="193"/>
      <c r="Y398" s="193"/>
    </row>
    <row r="399" spans="2:25" ht="31.15" hidden="1" customHeight="1" x14ac:dyDescent="0.2">
      <c r="B399" s="187" t="s">
        <v>684</v>
      </c>
      <c r="C399" s="187" t="s">
        <v>685</v>
      </c>
      <c r="D399" s="188"/>
      <c r="E399" s="188"/>
      <c r="F399" s="216" t="s">
        <v>741</v>
      </c>
      <c r="G399" s="209" t="s">
        <v>742</v>
      </c>
      <c r="H399" s="208" t="s">
        <v>67</v>
      </c>
      <c r="I399" s="208">
        <v>0</v>
      </c>
      <c r="J399" s="208">
        <v>15</v>
      </c>
      <c r="K399" s="196" t="s">
        <v>225</v>
      </c>
      <c r="L399" s="209" t="s">
        <v>743</v>
      </c>
      <c r="M399" s="199"/>
      <c r="N399" s="244"/>
      <c r="O399" s="193"/>
      <c r="P399" s="193"/>
      <c r="Q399" s="193"/>
      <c r="R399" s="193"/>
      <c r="S399" s="193"/>
      <c r="T399" s="193"/>
      <c r="U399" s="193"/>
      <c r="V399" s="193"/>
      <c r="W399" s="193"/>
      <c r="X399" s="193"/>
      <c r="Y399" s="193"/>
    </row>
    <row r="400" spans="2:25" ht="45.6" hidden="1" customHeight="1" x14ac:dyDescent="0.2">
      <c r="B400" s="187" t="s">
        <v>684</v>
      </c>
      <c r="C400" s="187" t="s">
        <v>685</v>
      </c>
      <c r="D400" s="188"/>
      <c r="E400" s="188"/>
      <c r="F400" s="216" t="s">
        <v>741</v>
      </c>
      <c r="G400" s="209" t="s">
        <v>744</v>
      </c>
      <c r="H400" s="208" t="s">
        <v>67</v>
      </c>
      <c r="I400" s="208">
        <v>3</v>
      </c>
      <c r="J400" s="208">
        <v>2</v>
      </c>
      <c r="K400" s="196" t="s">
        <v>225</v>
      </c>
      <c r="L400" s="209" t="s">
        <v>745</v>
      </c>
      <c r="M400" s="199"/>
      <c r="N400" s="244"/>
      <c r="O400" s="193"/>
      <c r="P400" s="193"/>
      <c r="Q400" s="193"/>
      <c r="R400" s="193"/>
      <c r="S400" s="193"/>
      <c r="T400" s="193"/>
      <c r="U400" s="193"/>
      <c r="V400" s="193"/>
      <c r="W400" s="193"/>
      <c r="X400" s="193"/>
      <c r="Y400" s="193"/>
    </row>
    <row r="401" spans="2:25" ht="45" hidden="1" customHeight="1" x14ac:dyDescent="0.2">
      <c r="B401" s="187" t="s">
        <v>684</v>
      </c>
      <c r="C401" s="187" t="s">
        <v>685</v>
      </c>
      <c r="D401" s="188"/>
      <c r="E401" s="188"/>
      <c r="F401" s="216" t="s">
        <v>741</v>
      </c>
      <c r="G401" s="209" t="s">
        <v>746</v>
      </c>
      <c r="H401" s="208" t="s">
        <v>67</v>
      </c>
      <c r="I401" s="208">
        <v>0</v>
      </c>
      <c r="J401" s="208">
        <v>2</v>
      </c>
      <c r="K401" s="196" t="s">
        <v>225</v>
      </c>
      <c r="L401" s="209" t="s">
        <v>747</v>
      </c>
      <c r="M401" s="199"/>
      <c r="N401" s="244"/>
      <c r="O401" s="193"/>
      <c r="P401" s="193"/>
      <c r="Q401" s="193"/>
      <c r="R401" s="193"/>
      <c r="S401" s="193"/>
      <c r="T401" s="193"/>
      <c r="U401" s="193"/>
      <c r="V401" s="193"/>
      <c r="W401" s="193"/>
      <c r="X401" s="193"/>
      <c r="Y401" s="193"/>
    </row>
    <row r="402" spans="2:25" ht="60" hidden="1" customHeight="1" x14ac:dyDescent="0.2">
      <c r="B402" s="187" t="s">
        <v>684</v>
      </c>
      <c r="C402" s="187" t="s">
        <v>685</v>
      </c>
      <c r="D402" s="188"/>
      <c r="E402" s="188"/>
      <c r="F402" s="216" t="s">
        <v>741</v>
      </c>
      <c r="G402" s="209" t="s">
        <v>748</v>
      </c>
      <c r="H402" s="208" t="s">
        <v>67</v>
      </c>
      <c r="I402" s="208">
        <v>0</v>
      </c>
      <c r="J402" s="208">
        <v>1</v>
      </c>
      <c r="K402" s="196" t="s">
        <v>225</v>
      </c>
      <c r="L402" s="209" t="s">
        <v>749</v>
      </c>
      <c r="M402" s="199"/>
      <c r="N402" s="244"/>
      <c r="O402" s="193"/>
      <c r="P402" s="193"/>
      <c r="Q402" s="193"/>
      <c r="R402" s="193"/>
      <c r="S402" s="193"/>
      <c r="T402" s="193"/>
      <c r="U402" s="193"/>
      <c r="V402" s="193"/>
      <c r="W402" s="193"/>
      <c r="X402" s="193"/>
      <c r="Y402" s="193"/>
    </row>
    <row r="403" spans="2:25" ht="31.15" hidden="1" customHeight="1" x14ac:dyDescent="0.2">
      <c r="B403" s="187" t="s">
        <v>684</v>
      </c>
      <c r="C403" s="187" t="s">
        <v>685</v>
      </c>
      <c r="D403" s="188"/>
      <c r="E403" s="188"/>
      <c r="F403" s="216" t="s">
        <v>741</v>
      </c>
      <c r="G403" s="209" t="s">
        <v>750</v>
      </c>
      <c r="H403" s="208" t="s">
        <v>67</v>
      </c>
      <c r="I403" s="208">
        <v>0</v>
      </c>
      <c r="J403" s="208">
        <v>2</v>
      </c>
      <c r="K403" s="196" t="s">
        <v>225</v>
      </c>
      <c r="L403" s="209" t="s">
        <v>751</v>
      </c>
      <c r="M403" s="199"/>
      <c r="N403" s="244"/>
      <c r="O403" s="193"/>
      <c r="P403" s="193"/>
      <c r="Q403" s="193"/>
      <c r="R403" s="193"/>
      <c r="S403" s="193"/>
      <c r="T403" s="193"/>
      <c r="U403" s="193"/>
      <c r="V403" s="193"/>
      <c r="W403" s="193"/>
      <c r="X403" s="193"/>
      <c r="Y403" s="193"/>
    </row>
    <row r="404" spans="2:25" ht="31.15" hidden="1" customHeight="1" x14ac:dyDescent="0.2">
      <c r="B404" s="187" t="s">
        <v>684</v>
      </c>
      <c r="C404" s="187" t="s">
        <v>685</v>
      </c>
      <c r="D404" s="188"/>
      <c r="E404" s="188"/>
      <c r="F404" s="216" t="s">
        <v>752</v>
      </c>
      <c r="G404" s="209" t="s">
        <v>753</v>
      </c>
      <c r="H404" s="208" t="s">
        <v>67</v>
      </c>
      <c r="I404" s="208">
        <v>0</v>
      </c>
      <c r="J404" s="208">
        <v>1</v>
      </c>
      <c r="K404" s="196" t="s">
        <v>225</v>
      </c>
      <c r="L404" s="205"/>
      <c r="M404" s="199"/>
      <c r="N404" s="244"/>
      <c r="O404" s="193"/>
      <c r="P404" s="193"/>
      <c r="Q404" s="193"/>
      <c r="R404" s="193"/>
      <c r="S404" s="193"/>
      <c r="T404" s="193"/>
      <c r="U404" s="193"/>
      <c r="V404" s="193"/>
      <c r="W404" s="193"/>
      <c r="X404" s="193"/>
      <c r="Y404" s="193"/>
    </row>
    <row r="405" spans="2:25" ht="31.15" hidden="1" customHeight="1" x14ac:dyDescent="0.2">
      <c r="B405" s="187" t="s">
        <v>684</v>
      </c>
      <c r="C405" s="187" t="s">
        <v>685</v>
      </c>
      <c r="D405" s="188"/>
      <c r="E405" s="188"/>
      <c r="F405" s="216" t="s">
        <v>752</v>
      </c>
      <c r="G405" s="209" t="s">
        <v>754</v>
      </c>
      <c r="H405" s="208" t="s">
        <v>67</v>
      </c>
      <c r="I405" s="208">
        <v>0</v>
      </c>
      <c r="J405" s="208">
        <v>1</v>
      </c>
      <c r="K405" s="196" t="s">
        <v>225</v>
      </c>
      <c r="L405" s="205"/>
      <c r="M405" s="199"/>
      <c r="N405" s="244"/>
      <c r="O405" s="193"/>
      <c r="P405" s="193"/>
      <c r="Q405" s="193"/>
      <c r="R405" s="193"/>
      <c r="S405" s="193"/>
      <c r="T405" s="193"/>
      <c r="U405" s="193"/>
      <c r="V405" s="193"/>
      <c r="W405" s="193"/>
      <c r="X405" s="193"/>
      <c r="Y405" s="193"/>
    </row>
    <row r="406" spans="2:25" ht="45" hidden="1" customHeight="1" x14ac:dyDescent="0.2">
      <c r="B406" s="187" t="s">
        <v>684</v>
      </c>
      <c r="C406" s="187" t="s">
        <v>685</v>
      </c>
      <c r="D406" s="188"/>
      <c r="E406" s="188"/>
      <c r="F406" s="216" t="s">
        <v>752</v>
      </c>
      <c r="G406" s="209" t="s">
        <v>755</v>
      </c>
      <c r="H406" s="208" t="s">
        <v>67</v>
      </c>
      <c r="I406" s="208">
        <v>0</v>
      </c>
      <c r="J406" s="208">
        <v>1</v>
      </c>
      <c r="K406" s="196" t="s">
        <v>225</v>
      </c>
      <c r="L406" s="205"/>
      <c r="M406" s="199"/>
      <c r="N406" s="244"/>
      <c r="O406" s="193"/>
      <c r="P406" s="193"/>
      <c r="Q406" s="193"/>
      <c r="R406" s="193"/>
      <c r="S406" s="193"/>
      <c r="T406" s="193"/>
      <c r="U406" s="193"/>
      <c r="V406" s="193"/>
      <c r="W406" s="193"/>
      <c r="X406" s="193"/>
      <c r="Y406" s="193"/>
    </row>
    <row r="407" spans="2:25" ht="60" hidden="1" customHeight="1" x14ac:dyDescent="0.2">
      <c r="B407" s="187" t="s">
        <v>684</v>
      </c>
      <c r="C407" s="187" t="s">
        <v>685</v>
      </c>
      <c r="D407" s="188"/>
      <c r="E407" s="188"/>
      <c r="F407" s="216" t="s">
        <v>752</v>
      </c>
      <c r="G407" s="209" t="s">
        <v>756</v>
      </c>
      <c r="H407" s="208" t="s">
        <v>67</v>
      </c>
      <c r="I407" s="208">
        <v>0</v>
      </c>
      <c r="J407" s="208">
        <v>1</v>
      </c>
      <c r="K407" s="196" t="s">
        <v>225</v>
      </c>
      <c r="L407" s="205"/>
      <c r="M407" s="199"/>
      <c r="N407" s="244"/>
      <c r="O407" s="193"/>
      <c r="P407" s="193"/>
      <c r="Q407" s="193"/>
      <c r="R407" s="193"/>
      <c r="S407" s="193"/>
      <c r="T407" s="193"/>
      <c r="U407" s="193"/>
      <c r="V407" s="193"/>
      <c r="W407" s="193"/>
      <c r="X407" s="193"/>
      <c r="Y407" s="193"/>
    </row>
    <row r="408" spans="2:25" ht="45" hidden="1" customHeight="1" x14ac:dyDescent="0.2">
      <c r="B408" s="187" t="s">
        <v>684</v>
      </c>
      <c r="C408" s="187" t="s">
        <v>685</v>
      </c>
      <c r="D408" s="188"/>
      <c r="E408" s="188"/>
      <c r="F408" s="216" t="s">
        <v>752</v>
      </c>
      <c r="G408" s="209" t="s">
        <v>757</v>
      </c>
      <c r="H408" s="208" t="s">
        <v>67</v>
      </c>
      <c r="I408" s="208">
        <v>0</v>
      </c>
      <c r="J408" s="208">
        <v>1</v>
      </c>
      <c r="K408" s="196" t="s">
        <v>225</v>
      </c>
      <c r="L408" s="205"/>
      <c r="M408" s="199"/>
      <c r="N408" s="244"/>
      <c r="O408" s="193"/>
      <c r="P408" s="193"/>
      <c r="Q408" s="193"/>
      <c r="R408" s="193"/>
      <c r="S408" s="193"/>
      <c r="T408" s="193"/>
      <c r="U408" s="193"/>
      <c r="V408" s="193"/>
      <c r="W408" s="193"/>
      <c r="X408" s="193"/>
      <c r="Y408" s="193"/>
    </row>
    <row r="409" spans="2:25" ht="60" hidden="1" customHeight="1" x14ac:dyDescent="0.2">
      <c r="B409" s="187" t="s">
        <v>684</v>
      </c>
      <c r="C409" s="187" t="s">
        <v>685</v>
      </c>
      <c r="D409" s="188"/>
      <c r="E409" s="188"/>
      <c r="F409" s="216" t="s">
        <v>752</v>
      </c>
      <c r="G409" s="209" t="s">
        <v>758</v>
      </c>
      <c r="H409" s="208" t="s">
        <v>67</v>
      </c>
      <c r="I409" s="208">
        <v>0</v>
      </c>
      <c r="J409" s="208">
        <v>4</v>
      </c>
      <c r="K409" s="196" t="s">
        <v>225</v>
      </c>
      <c r="L409" s="205"/>
      <c r="M409" s="199"/>
      <c r="N409" s="244"/>
      <c r="O409" s="193"/>
      <c r="P409" s="193"/>
      <c r="Q409" s="193"/>
      <c r="R409" s="193"/>
      <c r="S409" s="193"/>
      <c r="T409" s="193"/>
      <c r="U409" s="193"/>
      <c r="V409" s="193"/>
      <c r="W409" s="193"/>
      <c r="X409" s="193"/>
      <c r="Y409" s="193"/>
    </row>
    <row r="410" spans="2:25" ht="45" hidden="1" customHeight="1" x14ac:dyDescent="0.2">
      <c r="B410" s="187" t="s">
        <v>684</v>
      </c>
      <c r="C410" s="187" t="s">
        <v>685</v>
      </c>
      <c r="D410" s="188"/>
      <c r="E410" s="188"/>
      <c r="F410" s="216" t="s">
        <v>752</v>
      </c>
      <c r="G410" s="209" t="s">
        <v>759</v>
      </c>
      <c r="H410" s="208" t="s">
        <v>67</v>
      </c>
      <c r="I410" s="208">
        <v>0</v>
      </c>
      <c r="J410" s="208">
        <v>1</v>
      </c>
      <c r="K410" s="196" t="s">
        <v>225</v>
      </c>
      <c r="L410" s="205"/>
      <c r="M410" s="199"/>
      <c r="N410" s="244"/>
      <c r="O410" s="193"/>
      <c r="P410" s="193"/>
      <c r="Q410" s="193"/>
      <c r="R410" s="193"/>
      <c r="S410" s="193"/>
      <c r="T410" s="193"/>
      <c r="U410" s="193"/>
      <c r="V410" s="193"/>
      <c r="W410" s="193"/>
      <c r="X410" s="193"/>
      <c r="Y410" s="193"/>
    </row>
    <row r="411" spans="2:25" ht="60" hidden="1" customHeight="1" x14ac:dyDescent="0.2">
      <c r="B411" s="187" t="s">
        <v>684</v>
      </c>
      <c r="C411" s="187" t="s">
        <v>685</v>
      </c>
      <c r="D411" s="188"/>
      <c r="E411" s="188"/>
      <c r="F411" s="216" t="s">
        <v>752</v>
      </c>
      <c r="G411" s="209" t="s">
        <v>760</v>
      </c>
      <c r="H411" s="208" t="s">
        <v>67</v>
      </c>
      <c r="I411" s="208">
        <v>0</v>
      </c>
      <c r="J411" s="208">
        <v>3</v>
      </c>
      <c r="K411" s="196" t="s">
        <v>225</v>
      </c>
      <c r="L411" s="205"/>
      <c r="M411" s="199"/>
      <c r="N411" s="244"/>
      <c r="O411" s="193"/>
      <c r="P411" s="193"/>
      <c r="Q411" s="193"/>
      <c r="R411" s="193"/>
      <c r="S411" s="193"/>
      <c r="T411" s="193"/>
      <c r="U411" s="193"/>
      <c r="V411" s="193"/>
      <c r="W411" s="193"/>
      <c r="X411" s="193"/>
      <c r="Y411" s="193"/>
    </row>
    <row r="412" spans="2:25" ht="60" hidden="1" customHeight="1" x14ac:dyDescent="0.2">
      <c r="B412" s="187" t="s">
        <v>684</v>
      </c>
      <c r="C412" s="187" t="s">
        <v>685</v>
      </c>
      <c r="D412" s="188"/>
      <c r="E412" s="188"/>
      <c r="F412" s="216" t="s">
        <v>752</v>
      </c>
      <c r="G412" s="209" t="s">
        <v>761</v>
      </c>
      <c r="H412" s="208" t="s">
        <v>67</v>
      </c>
      <c r="I412" s="208">
        <v>1</v>
      </c>
      <c r="J412" s="208">
        <v>10</v>
      </c>
      <c r="K412" s="196" t="s">
        <v>225</v>
      </c>
      <c r="L412" s="205"/>
      <c r="M412" s="199"/>
      <c r="N412" s="244"/>
      <c r="O412" s="193"/>
      <c r="P412" s="193"/>
      <c r="Q412" s="193"/>
      <c r="R412" s="193"/>
      <c r="S412" s="193"/>
      <c r="T412" s="193"/>
      <c r="U412" s="193"/>
      <c r="V412" s="193"/>
      <c r="W412" s="193"/>
      <c r="X412" s="193"/>
      <c r="Y412" s="193"/>
    </row>
    <row r="413" spans="2:25" ht="90" hidden="1" customHeight="1" x14ac:dyDescent="0.2">
      <c r="B413" s="187" t="s">
        <v>684</v>
      </c>
      <c r="C413" s="187" t="s">
        <v>685</v>
      </c>
      <c r="D413" s="188"/>
      <c r="E413" s="188"/>
      <c r="F413" s="216" t="s">
        <v>752</v>
      </c>
      <c r="G413" s="209" t="s">
        <v>762</v>
      </c>
      <c r="H413" s="208" t="s">
        <v>67</v>
      </c>
      <c r="I413" s="208">
        <v>0</v>
      </c>
      <c r="J413" s="208">
        <v>20</v>
      </c>
      <c r="K413" s="196" t="s">
        <v>225</v>
      </c>
      <c r="L413" s="205"/>
      <c r="M413" s="199"/>
      <c r="N413" s="244"/>
      <c r="O413" s="193"/>
      <c r="P413" s="193"/>
      <c r="Q413" s="193"/>
      <c r="R413" s="193"/>
      <c r="S413" s="193"/>
      <c r="T413" s="193"/>
      <c r="U413" s="193"/>
      <c r="V413" s="193"/>
      <c r="W413" s="193"/>
      <c r="X413" s="193"/>
      <c r="Y413" s="193"/>
    </row>
    <row r="414" spans="2:25" ht="45" hidden="1" customHeight="1" x14ac:dyDescent="0.2">
      <c r="B414" s="187" t="s">
        <v>684</v>
      </c>
      <c r="C414" s="187" t="s">
        <v>685</v>
      </c>
      <c r="D414" s="188"/>
      <c r="E414" s="188"/>
      <c r="F414" s="216" t="s">
        <v>752</v>
      </c>
      <c r="G414" s="209" t="s">
        <v>763</v>
      </c>
      <c r="H414" s="208" t="s">
        <v>67</v>
      </c>
      <c r="I414" s="208">
        <v>0</v>
      </c>
      <c r="J414" s="208">
        <v>1</v>
      </c>
      <c r="K414" s="196" t="s">
        <v>225</v>
      </c>
      <c r="L414" s="205"/>
      <c r="M414" s="199"/>
      <c r="N414" s="244"/>
      <c r="O414" s="193"/>
      <c r="P414" s="193"/>
      <c r="Q414" s="193"/>
      <c r="R414" s="193"/>
      <c r="S414" s="193"/>
      <c r="T414" s="193"/>
      <c r="U414" s="193"/>
      <c r="V414" s="193"/>
      <c r="W414" s="193"/>
      <c r="X414" s="193"/>
      <c r="Y414" s="193"/>
    </row>
    <row r="415" spans="2:25" ht="45" hidden="1" customHeight="1" x14ac:dyDescent="0.2">
      <c r="B415" s="187" t="s">
        <v>684</v>
      </c>
      <c r="C415" s="187" t="s">
        <v>685</v>
      </c>
      <c r="D415" s="188"/>
      <c r="E415" s="188"/>
      <c r="F415" s="216" t="s">
        <v>752</v>
      </c>
      <c r="G415" s="209" t="s">
        <v>764</v>
      </c>
      <c r="H415" s="208" t="s">
        <v>67</v>
      </c>
      <c r="I415" s="208">
        <v>1</v>
      </c>
      <c r="J415" s="208">
        <v>1</v>
      </c>
      <c r="K415" s="208" t="s">
        <v>264</v>
      </c>
      <c r="L415" s="205"/>
      <c r="M415" s="193"/>
      <c r="N415" s="193"/>
      <c r="O415" s="193"/>
      <c r="P415" s="193"/>
      <c r="Q415" s="193"/>
      <c r="R415" s="193"/>
      <c r="S415" s="193"/>
      <c r="T415" s="193"/>
      <c r="U415" s="193"/>
      <c r="V415" s="193"/>
      <c r="W415" s="193"/>
      <c r="X415" s="193"/>
      <c r="Y415" s="193"/>
    </row>
    <row r="416" spans="2:25" ht="60" hidden="1" customHeight="1" x14ac:dyDescent="0.2">
      <c r="B416" s="187" t="s">
        <v>684</v>
      </c>
      <c r="C416" s="187" t="s">
        <v>685</v>
      </c>
      <c r="D416" s="188"/>
      <c r="E416" s="188"/>
      <c r="F416" s="216" t="s">
        <v>752</v>
      </c>
      <c r="G416" s="209" t="s">
        <v>765</v>
      </c>
      <c r="H416" s="208" t="s">
        <v>67</v>
      </c>
      <c r="I416" s="208">
        <v>4</v>
      </c>
      <c r="J416" s="208">
        <v>4</v>
      </c>
      <c r="K416" s="208" t="s">
        <v>264</v>
      </c>
      <c r="L416" s="205"/>
      <c r="M416" s="193"/>
      <c r="N416" s="193"/>
      <c r="O416" s="193"/>
      <c r="P416" s="193"/>
      <c r="Q416" s="193"/>
      <c r="R416" s="193"/>
      <c r="S416" s="193"/>
      <c r="T416" s="193"/>
      <c r="U416" s="193"/>
      <c r="V416" s="193"/>
      <c r="W416" s="193"/>
      <c r="X416" s="193"/>
      <c r="Y416" s="193"/>
    </row>
    <row r="417" spans="2:25" ht="45" hidden="1" customHeight="1" x14ac:dyDescent="0.2">
      <c r="B417" s="187" t="s">
        <v>684</v>
      </c>
      <c r="C417" s="187" t="s">
        <v>685</v>
      </c>
      <c r="D417" s="188"/>
      <c r="E417" s="188"/>
      <c r="F417" s="216" t="s">
        <v>752</v>
      </c>
      <c r="G417" s="209" t="s">
        <v>766</v>
      </c>
      <c r="H417" s="208" t="s">
        <v>67</v>
      </c>
      <c r="I417" s="208">
        <v>0</v>
      </c>
      <c r="J417" s="208">
        <v>1</v>
      </c>
      <c r="K417" s="196" t="s">
        <v>225</v>
      </c>
      <c r="L417" s="205"/>
      <c r="M417" s="199"/>
      <c r="N417" s="244"/>
      <c r="O417" s="193"/>
      <c r="P417" s="193"/>
      <c r="Q417" s="193"/>
      <c r="R417" s="193"/>
      <c r="S417" s="193"/>
      <c r="T417" s="193"/>
      <c r="U417" s="193"/>
      <c r="V417" s="193"/>
      <c r="W417" s="193"/>
      <c r="X417" s="193"/>
      <c r="Y417" s="193"/>
    </row>
    <row r="418" spans="2:25" ht="45" hidden="1" customHeight="1" x14ac:dyDescent="0.2">
      <c r="B418" s="187" t="s">
        <v>684</v>
      </c>
      <c r="C418" s="187" t="s">
        <v>685</v>
      </c>
      <c r="D418" s="188"/>
      <c r="E418" s="188"/>
      <c r="F418" s="216" t="s">
        <v>752</v>
      </c>
      <c r="G418" s="209" t="s">
        <v>767</v>
      </c>
      <c r="H418" s="208" t="s">
        <v>67</v>
      </c>
      <c r="I418" s="208">
        <v>0</v>
      </c>
      <c r="J418" s="208">
        <v>1</v>
      </c>
      <c r="K418" s="196" t="s">
        <v>225</v>
      </c>
      <c r="L418" s="205"/>
      <c r="M418" s="199"/>
      <c r="N418" s="244"/>
      <c r="O418" s="193"/>
      <c r="P418" s="193"/>
      <c r="Q418" s="193"/>
      <c r="R418" s="193"/>
      <c r="S418" s="193"/>
      <c r="T418" s="193"/>
      <c r="U418" s="193"/>
      <c r="V418" s="193"/>
      <c r="W418" s="193"/>
      <c r="X418" s="193"/>
      <c r="Y418" s="193"/>
    </row>
    <row r="419" spans="2:25" ht="45" hidden="1" customHeight="1" x14ac:dyDescent="0.2">
      <c r="B419" s="187" t="s">
        <v>684</v>
      </c>
      <c r="C419" s="187" t="s">
        <v>685</v>
      </c>
      <c r="D419" s="188"/>
      <c r="E419" s="188"/>
      <c r="F419" s="216" t="s">
        <v>752</v>
      </c>
      <c r="G419" s="209" t="s">
        <v>768</v>
      </c>
      <c r="H419" s="208" t="s">
        <v>67</v>
      </c>
      <c r="I419" s="208">
        <v>1</v>
      </c>
      <c r="J419" s="208">
        <v>3</v>
      </c>
      <c r="K419" s="196" t="s">
        <v>225</v>
      </c>
      <c r="L419" s="205"/>
      <c r="M419" s="199"/>
      <c r="N419" s="244"/>
      <c r="O419" s="193"/>
      <c r="P419" s="193"/>
      <c r="Q419" s="193"/>
      <c r="R419" s="193"/>
      <c r="S419" s="193"/>
      <c r="T419" s="193"/>
      <c r="U419" s="193"/>
      <c r="V419" s="193"/>
      <c r="W419" s="193"/>
      <c r="X419" s="193"/>
      <c r="Y419" s="193"/>
    </row>
    <row r="420" spans="2:25" ht="45" hidden="1" customHeight="1" x14ac:dyDescent="0.2">
      <c r="B420" s="187" t="s">
        <v>684</v>
      </c>
      <c r="C420" s="187" t="s">
        <v>685</v>
      </c>
      <c r="D420" s="188"/>
      <c r="E420" s="188"/>
      <c r="F420" s="216" t="s">
        <v>752</v>
      </c>
      <c r="G420" s="209" t="s">
        <v>769</v>
      </c>
      <c r="H420" s="208" t="s">
        <v>67</v>
      </c>
      <c r="I420" s="208">
        <v>1</v>
      </c>
      <c r="J420" s="208">
        <v>4</v>
      </c>
      <c r="K420" s="196" t="s">
        <v>225</v>
      </c>
      <c r="L420" s="205"/>
      <c r="M420" s="199"/>
      <c r="N420" s="244"/>
      <c r="O420" s="193"/>
      <c r="P420" s="193"/>
      <c r="Q420" s="193"/>
      <c r="R420" s="193"/>
      <c r="S420" s="193"/>
      <c r="T420" s="193"/>
      <c r="U420" s="193"/>
      <c r="V420" s="193"/>
      <c r="W420" s="193"/>
      <c r="X420" s="193"/>
      <c r="Y420" s="193"/>
    </row>
    <row r="421" spans="2:25" ht="31.15" hidden="1" customHeight="1" x14ac:dyDescent="0.2">
      <c r="B421" s="187" t="s">
        <v>684</v>
      </c>
      <c r="C421" s="187" t="s">
        <v>685</v>
      </c>
      <c r="D421" s="188"/>
      <c r="E421" s="188"/>
      <c r="F421" s="216" t="s">
        <v>752</v>
      </c>
      <c r="G421" s="209" t="s">
        <v>770</v>
      </c>
      <c r="H421" s="208" t="s">
        <v>67</v>
      </c>
      <c r="I421" s="208">
        <v>0</v>
      </c>
      <c r="J421" s="208">
        <v>1</v>
      </c>
      <c r="K421" s="196" t="s">
        <v>225</v>
      </c>
      <c r="L421" s="205"/>
      <c r="M421" s="199"/>
      <c r="N421" s="244"/>
      <c r="O421" s="193"/>
      <c r="P421" s="193"/>
      <c r="Q421" s="193"/>
      <c r="R421" s="193"/>
      <c r="S421" s="193"/>
      <c r="T421" s="193"/>
      <c r="U421" s="193"/>
      <c r="V421" s="193"/>
      <c r="W421" s="193"/>
      <c r="X421" s="193"/>
      <c r="Y421" s="193"/>
    </row>
    <row r="422" spans="2:25" ht="75" hidden="1" customHeight="1" x14ac:dyDescent="0.2">
      <c r="B422" s="187" t="s">
        <v>684</v>
      </c>
      <c r="C422" s="187" t="s">
        <v>685</v>
      </c>
      <c r="D422" s="188"/>
      <c r="E422" s="188"/>
      <c r="F422" s="216" t="s">
        <v>752</v>
      </c>
      <c r="G422" s="209" t="s">
        <v>771</v>
      </c>
      <c r="H422" s="208" t="s">
        <v>67</v>
      </c>
      <c r="I422" s="208">
        <v>4</v>
      </c>
      <c r="J422" s="208">
        <v>4</v>
      </c>
      <c r="K422" s="196" t="s">
        <v>225</v>
      </c>
      <c r="L422" s="205"/>
      <c r="M422" s="199"/>
      <c r="N422" s="244"/>
      <c r="O422" s="193"/>
      <c r="P422" s="193"/>
      <c r="Q422" s="193"/>
      <c r="R422" s="193"/>
      <c r="S422" s="193"/>
      <c r="T422" s="193"/>
      <c r="U422" s="193"/>
      <c r="V422" s="193"/>
      <c r="W422" s="193"/>
      <c r="X422" s="193"/>
      <c r="Y422" s="193"/>
    </row>
    <row r="423" spans="2:25" ht="45" hidden="1" customHeight="1" x14ac:dyDescent="0.2">
      <c r="B423" s="187" t="s">
        <v>684</v>
      </c>
      <c r="C423" s="187" t="s">
        <v>685</v>
      </c>
      <c r="D423" s="188"/>
      <c r="E423" s="188"/>
      <c r="F423" s="216" t="s">
        <v>752</v>
      </c>
      <c r="G423" s="209" t="s">
        <v>772</v>
      </c>
      <c r="H423" s="208" t="s">
        <v>67</v>
      </c>
      <c r="I423" s="208">
        <v>1</v>
      </c>
      <c r="J423" s="208">
        <v>1</v>
      </c>
      <c r="K423" s="196" t="s">
        <v>225</v>
      </c>
      <c r="L423" s="205"/>
      <c r="M423" s="199"/>
      <c r="N423" s="244"/>
      <c r="O423" s="193"/>
      <c r="P423" s="193"/>
      <c r="Q423" s="193"/>
      <c r="R423" s="193"/>
      <c r="S423" s="193"/>
      <c r="T423" s="193"/>
      <c r="U423" s="193"/>
      <c r="V423" s="193"/>
      <c r="W423" s="193"/>
      <c r="X423" s="193"/>
      <c r="Y423" s="193"/>
    </row>
    <row r="424" spans="2:25" ht="45" hidden="1" customHeight="1" x14ac:dyDescent="0.2">
      <c r="B424" s="187" t="s">
        <v>684</v>
      </c>
      <c r="C424" s="187" t="s">
        <v>685</v>
      </c>
      <c r="D424" s="188"/>
      <c r="E424" s="188"/>
      <c r="F424" s="216" t="s">
        <v>752</v>
      </c>
      <c r="G424" s="209" t="s">
        <v>773</v>
      </c>
      <c r="H424" s="208" t="s">
        <v>67</v>
      </c>
      <c r="I424" s="208">
        <v>1</v>
      </c>
      <c r="J424" s="208">
        <v>1</v>
      </c>
      <c r="K424" s="208" t="s">
        <v>774</v>
      </c>
      <c r="L424" s="205"/>
      <c r="M424" s="193"/>
      <c r="N424" s="193"/>
      <c r="O424" s="193"/>
      <c r="P424" s="193"/>
      <c r="Q424" s="193"/>
      <c r="R424" s="193"/>
      <c r="S424" s="193"/>
      <c r="T424" s="193"/>
      <c r="U424" s="193"/>
      <c r="V424" s="193"/>
      <c r="W424" s="193"/>
      <c r="X424" s="193"/>
      <c r="Y424" s="193"/>
    </row>
    <row r="425" spans="2:25" ht="45" hidden="1" customHeight="1" x14ac:dyDescent="0.2">
      <c r="B425" s="187" t="s">
        <v>684</v>
      </c>
      <c r="C425" s="187" t="s">
        <v>685</v>
      </c>
      <c r="D425" s="188"/>
      <c r="E425" s="188"/>
      <c r="F425" s="216" t="s">
        <v>752</v>
      </c>
      <c r="G425" s="209" t="s">
        <v>775</v>
      </c>
      <c r="H425" s="208" t="s">
        <v>67</v>
      </c>
      <c r="I425" s="208">
        <v>75</v>
      </c>
      <c r="J425" s="208">
        <v>150</v>
      </c>
      <c r="K425" s="210" t="s">
        <v>253</v>
      </c>
      <c r="L425" s="205"/>
      <c r="M425" s="193"/>
      <c r="N425" s="193"/>
      <c r="O425" s="193"/>
      <c r="P425" s="193"/>
      <c r="Q425" s="193"/>
      <c r="R425" s="193"/>
      <c r="S425" s="193"/>
      <c r="T425" s="193"/>
      <c r="U425" s="193"/>
      <c r="V425" s="193"/>
      <c r="W425" s="193"/>
      <c r="X425" s="193"/>
      <c r="Y425" s="193"/>
    </row>
    <row r="426" spans="2:25" ht="75" hidden="1" customHeight="1" x14ac:dyDescent="0.2">
      <c r="B426" s="187" t="s">
        <v>684</v>
      </c>
      <c r="C426" s="187" t="s">
        <v>685</v>
      </c>
      <c r="D426" s="188"/>
      <c r="E426" s="188"/>
      <c r="F426" s="216" t="s">
        <v>752</v>
      </c>
      <c r="G426" s="209" t="s">
        <v>776</v>
      </c>
      <c r="H426" s="208" t="s">
        <v>67</v>
      </c>
      <c r="I426" s="208">
        <v>168</v>
      </c>
      <c r="J426" s="208">
        <v>300</v>
      </c>
      <c r="K426" s="210" t="s">
        <v>253</v>
      </c>
      <c r="L426" s="205"/>
      <c r="M426" s="193"/>
      <c r="N426" s="193"/>
      <c r="O426" s="193"/>
      <c r="P426" s="193"/>
      <c r="Q426" s="193"/>
      <c r="R426" s="193"/>
      <c r="S426" s="193"/>
      <c r="T426" s="193"/>
      <c r="U426" s="193"/>
      <c r="V426" s="193"/>
      <c r="W426" s="193"/>
      <c r="X426" s="193"/>
      <c r="Y426" s="193"/>
    </row>
    <row r="427" spans="2:25" ht="60" hidden="1" customHeight="1" x14ac:dyDescent="0.2">
      <c r="B427" s="187" t="s">
        <v>684</v>
      </c>
      <c r="C427" s="187" t="s">
        <v>685</v>
      </c>
      <c r="D427" s="188"/>
      <c r="E427" s="188"/>
      <c r="F427" s="216" t="s">
        <v>752</v>
      </c>
      <c r="G427" s="209" t="s">
        <v>777</v>
      </c>
      <c r="H427" s="208" t="s">
        <v>67</v>
      </c>
      <c r="I427" s="208">
        <v>68</v>
      </c>
      <c r="J427" s="208">
        <v>200</v>
      </c>
      <c r="K427" s="210" t="s">
        <v>253</v>
      </c>
      <c r="L427" s="205"/>
      <c r="M427" s="193"/>
      <c r="N427" s="193"/>
      <c r="O427" s="193"/>
      <c r="P427" s="193"/>
      <c r="Q427" s="193"/>
      <c r="R427" s="193"/>
      <c r="S427" s="193"/>
      <c r="T427" s="193"/>
      <c r="U427" s="193"/>
      <c r="V427" s="193"/>
      <c r="W427" s="193"/>
      <c r="X427" s="193"/>
      <c r="Y427" s="193"/>
    </row>
    <row r="428" spans="2:25" ht="45" hidden="1" customHeight="1" x14ac:dyDescent="0.2">
      <c r="B428" s="187" t="s">
        <v>684</v>
      </c>
      <c r="C428" s="187" t="s">
        <v>685</v>
      </c>
      <c r="D428" s="188"/>
      <c r="E428" s="188"/>
      <c r="F428" s="216" t="s">
        <v>752</v>
      </c>
      <c r="G428" s="209" t="s">
        <v>778</v>
      </c>
      <c r="H428" s="208" t="s">
        <v>250</v>
      </c>
      <c r="I428" s="208">
        <v>0</v>
      </c>
      <c r="J428" s="208">
        <v>1</v>
      </c>
      <c r="K428" s="210" t="s">
        <v>253</v>
      </c>
      <c r="L428" s="205"/>
      <c r="M428" s="193"/>
      <c r="N428" s="193"/>
      <c r="O428" s="193"/>
      <c r="P428" s="193"/>
      <c r="Q428" s="193"/>
      <c r="R428" s="193"/>
      <c r="S428" s="193"/>
      <c r="T428" s="193"/>
      <c r="U428" s="193"/>
      <c r="V428" s="193"/>
      <c r="W428" s="193"/>
      <c r="X428" s="193"/>
      <c r="Y428" s="193"/>
    </row>
    <row r="429" spans="2:25" ht="75" hidden="1" customHeight="1" x14ac:dyDescent="0.2">
      <c r="B429" s="187" t="s">
        <v>684</v>
      </c>
      <c r="C429" s="187" t="s">
        <v>685</v>
      </c>
      <c r="D429" s="188"/>
      <c r="E429" s="188"/>
      <c r="F429" s="189" t="s">
        <v>752</v>
      </c>
      <c r="G429" s="209" t="s">
        <v>779</v>
      </c>
      <c r="H429" s="208" t="s">
        <v>67</v>
      </c>
      <c r="I429" s="208">
        <v>4</v>
      </c>
      <c r="J429" s="208">
        <v>4</v>
      </c>
      <c r="K429" s="210" t="s">
        <v>253</v>
      </c>
      <c r="L429" s="205"/>
      <c r="M429" s="193"/>
      <c r="N429" s="193"/>
      <c r="O429" s="193"/>
      <c r="P429" s="193"/>
      <c r="Q429" s="193"/>
      <c r="R429" s="193"/>
      <c r="S429" s="193"/>
      <c r="T429" s="193"/>
      <c r="U429" s="193"/>
      <c r="V429" s="193"/>
      <c r="W429" s="193"/>
      <c r="X429" s="193"/>
      <c r="Y429" s="193"/>
    </row>
    <row r="430" spans="2:25" ht="45" hidden="1" customHeight="1" x14ac:dyDescent="0.2">
      <c r="B430" s="187" t="s">
        <v>684</v>
      </c>
      <c r="C430" s="187" t="s">
        <v>685</v>
      </c>
      <c r="D430" s="188"/>
      <c r="E430" s="188"/>
      <c r="F430" s="216" t="s">
        <v>752</v>
      </c>
      <c r="G430" s="209" t="s">
        <v>780</v>
      </c>
      <c r="H430" s="208" t="s">
        <v>67</v>
      </c>
      <c r="I430" s="208">
        <v>2</v>
      </c>
      <c r="J430" s="208">
        <v>2</v>
      </c>
      <c r="K430" s="210" t="s">
        <v>253</v>
      </c>
      <c r="L430" s="205"/>
      <c r="M430" s="193"/>
      <c r="N430" s="193"/>
      <c r="O430" s="193"/>
      <c r="P430" s="193"/>
      <c r="Q430" s="193"/>
      <c r="R430" s="193"/>
      <c r="S430" s="193"/>
      <c r="T430" s="193"/>
      <c r="U430" s="193"/>
      <c r="V430" s="193"/>
      <c r="W430" s="193"/>
      <c r="X430" s="193"/>
      <c r="Y430" s="193"/>
    </row>
    <row r="431" spans="2:25" ht="60" hidden="1" customHeight="1" x14ac:dyDescent="0.2">
      <c r="B431" s="187" t="s">
        <v>684</v>
      </c>
      <c r="C431" s="187" t="s">
        <v>685</v>
      </c>
      <c r="D431" s="188"/>
      <c r="E431" s="188"/>
      <c r="F431" s="216" t="s">
        <v>752</v>
      </c>
      <c r="G431" s="209" t="s">
        <v>781</v>
      </c>
      <c r="H431" s="208" t="s">
        <v>67</v>
      </c>
      <c r="I431" s="208">
        <v>4</v>
      </c>
      <c r="J431" s="208">
        <v>4</v>
      </c>
      <c r="K431" s="210" t="s">
        <v>253</v>
      </c>
      <c r="L431" s="205"/>
      <c r="M431" s="193"/>
      <c r="N431" s="193"/>
      <c r="O431" s="193"/>
      <c r="P431" s="193"/>
      <c r="Q431" s="193"/>
      <c r="R431" s="193"/>
      <c r="S431" s="193"/>
      <c r="T431" s="193"/>
      <c r="U431" s="193"/>
      <c r="V431" s="193"/>
      <c r="W431" s="193"/>
      <c r="X431" s="193"/>
      <c r="Y431" s="193"/>
    </row>
    <row r="432" spans="2:25" ht="60" hidden="1" customHeight="1" x14ac:dyDescent="0.2">
      <c r="B432" s="187" t="s">
        <v>684</v>
      </c>
      <c r="C432" s="187" t="s">
        <v>685</v>
      </c>
      <c r="D432" s="188"/>
      <c r="E432" s="188"/>
      <c r="F432" s="216" t="s">
        <v>752</v>
      </c>
      <c r="G432" s="209" t="s">
        <v>782</v>
      </c>
      <c r="H432" s="208" t="s">
        <v>67</v>
      </c>
      <c r="I432" s="208">
        <v>4</v>
      </c>
      <c r="J432" s="208">
        <v>4</v>
      </c>
      <c r="K432" s="210" t="s">
        <v>253</v>
      </c>
      <c r="L432" s="205"/>
      <c r="M432" s="193"/>
      <c r="N432" s="193"/>
      <c r="O432" s="193"/>
      <c r="P432" s="193"/>
      <c r="Q432" s="193"/>
      <c r="R432" s="193"/>
      <c r="S432" s="193"/>
      <c r="T432" s="193"/>
      <c r="U432" s="193"/>
      <c r="V432" s="193"/>
      <c r="W432" s="193"/>
      <c r="X432" s="193"/>
      <c r="Y432" s="193"/>
    </row>
    <row r="433" spans="2:25" ht="45" hidden="1" customHeight="1" x14ac:dyDescent="0.2">
      <c r="B433" s="187" t="s">
        <v>684</v>
      </c>
      <c r="C433" s="187" t="s">
        <v>685</v>
      </c>
      <c r="D433" s="188"/>
      <c r="E433" s="188"/>
      <c r="F433" s="216" t="s">
        <v>752</v>
      </c>
      <c r="G433" s="241" t="s">
        <v>783</v>
      </c>
      <c r="H433" s="210" t="s">
        <v>67</v>
      </c>
      <c r="I433" s="210">
        <v>0</v>
      </c>
      <c r="J433" s="210">
        <v>1</v>
      </c>
      <c r="K433" s="202" t="s">
        <v>228</v>
      </c>
      <c r="L433" s="205"/>
      <c r="M433" s="193"/>
      <c r="N433" s="193"/>
      <c r="O433" s="193"/>
      <c r="P433" s="193"/>
      <c r="Q433" s="193"/>
      <c r="R433" s="193"/>
      <c r="S433" s="193"/>
      <c r="T433" s="193"/>
      <c r="U433" s="193"/>
      <c r="V433" s="193"/>
      <c r="W433" s="193"/>
      <c r="X433" s="193"/>
      <c r="Y433" s="193"/>
    </row>
    <row r="434" spans="2:25" ht="90" hidden="1" customHeight="1" x14ac:dyDescent="0.2">
      <c r="B434" s="187" t="s">
        <v>684</v>
      </c>
      <c r="C434" s="187" t="s">
        <v>685</v>
      </c>
      <c r="D434" s="188"/>
      <c r="E434" s="188"/>
      <c r="F434" s="216" t="s">
        <v>752</v>
      </c>
      <c r="G434" s="241" t="s">
        <v>784</v>
      </c>
      <c r="H434" s="210" t="s">
        <v>67</v>
      </c>
      <c r="I434" s="210">
        <v>0</v>
      </c>
      <c r="J434" s="210">
        <v>8</v>
      </c>
      <c r="K434" s="210" t="s">
        <v>688</v>
      </c>
      <c r="L434" s="205"/>
      <c r="M434" s="193"/>
      <c r="N434" s="193"/>
      <c r="O434" s="193"/>
      <c r="P434" s="193"/>
      <c r="Q434" s="193"/>
      <c r="R434" s="193"/>
      <c r="S434" s="193"/>
      <c r="T434" s="193"/>
      <c r="U434" s="193"/>
      <c r="V434" s="193"/>
      <c r="W434" s="193"/>
      <c r="X434" s="193"/>
      <c r="Y434" s="193"/>
    </row>
    <row r="435" spans="2:25" ht="45" hidden="1" customHeight="1" x14ac:dyDescent="0.2">
      <c r="B435" s="187" t="s">
        <v>684</v>
      </c>
      <c r="C435" s="187" t="s">
        <v>685</v>
      </c>
      <c r="D435" s="188"/>
      <c r="E435" s="188"/>
      <c r="F435" s="216" t="s">
        <v>752</v>
      </c>
      <c r="G435" s="241" t="s">
        <v>785</v>
      </c>
      <c r="H435" s="210" t="s">
        <v>67</v>
      </c>
      <c r="I435" s="210">
        <v>23</v>
      </c>
      <c r="J435" s="210">
        <v>50</v>
      </c>
      <c r="K435" s="210" t="s">
        <v>253</v>
      </c>
      <c r="L435" s="205"/>
      <c r="M435" s="193"/>
      <c r="N435" s="193"/>
      <c r="O435" s="193"/>
      <c r="P435" s="193"/>
      <c r="Q435" s="193"/>
      <c r="R435" s="193"/>
      <c r="S435" s="193"/>
      <c r="T435" s="193"/>
      <c r="U435" s="193"/>
      <c r="V435" s="193"/>
      <c r="W435" s="193"/>
      <c r="X435" s="193"/>
      <c r="Y435" s="193"/>
    </row>
    <row r="436" spans="2:25" ht="60" hidden="1" customHeight="1" x14ac:dyDescent="0.2">
      <c r="B436" s="187" t="s">
        <v>786</v>
      </c>
      <c r="C436" s="222" t="s">
        <v>787</v>
      </c>
      <c r="D436" s="247"/>
      <c r="E436" s="247"/>
      <c r="F436" s="216" t="s">
        <v>788</v>
      </c>
      <c r="G436" s="212" t="s">
        <v>789</v>
      </c>
      <c r="H436" s="212" t="s">
        <v>67</v>
      </c>
      <c r="I436" s="212">
        <v>0</v>
      </c>
      <c r="J436" s="212">
        <v>3</v>
      </c>
      <c r="K436" s="191" t="s">
        <v>645</v>
      </c>
      <c r="L436" s="205"/>
      <c r="M436" s="193"/>
      <c r="N436" s="193"/>
      <c r="O436" s="193"/>
      <c r="P436" s="193"/>
      <c r="Q436" s="193"/>
      <c r="R436" s="193"/>
      <c r="S436" s="193"/>
      <c r="T436" s="193"/>
      <c r="U436" s="193"/>
      <c r="V436" s="193"/>
      <c r="W436" s="193"/>
      <c r="X436" s="193"/>
      <c r="Y436" s="193"/>
    </row>
    <row r="437" spans="2:25" ht="45" hidden="1" customHeight="1" x14ac:dyDescent="0.2">
      <c r="B437" s="187" t="s">
        <v>786</v>
      </c>
      <c r="C437" s="222" t="s">
        <v>787</v>
      </c>
      <c r="D437" s="247"/>
      <c r="E437" s="247"/>
      <c r="F437" s="216" t="s">
        <v>788</v>
      </c>
      <c r="G437" s="212" t="s">
        <v>790</v>
      </c>
      <c r="H437" s="212" t="s">
        <v>67</v>
      </c>
      <c r="I437" s="212">
        <v>0</v>
      </c>
      <c r="J437" s="212">
        <v>6</v>
      </c>
      <c r="K437" s="196" t="s">
        <v>225</v>
      </c>
      <c r="L437" s="205"/>
      <c r="M437" s="199"/>
      <c r="N437" s="244"/>
      <c r="O437" s="193"/>
      <c r="P437" s="193"/>
      <c r="Q437" s="193"/>
      <c r="R437" s="193"/>
      <c r="S437" s="193"/>
      <c r="T437" s="193"/>
      <c r="U437" s="193"/>
      <c r="V437" s="193"/>
      <c r="W437" s="193"/>
      <c r="X437" s="193"/>
      <c r="Y437" s="193"/>
    </row>
    <row r="438" spans="2:25" ht="45" hidden="1" customHeight="1" x14ac:dyDescent="0.2">
      <c r="B438" s="187" t="s">
        <v>786</v>
      </c>
      <c r="C438" s="222" t="s">
        <v>787</v>
      </c>
      <c r="D438" s="247"/>
      <c r="E438" s="247"/>
      <c r="F438" s="216" t="s">
        <v>788</v>
      </c>
      <c r="G438" s="212" t="s">
        <v>791</v>
      </c>
      <c r="H438" s="212" t="s">
        <v>67</v>
      </c>
      <c r="I438" s="212">
        <v>0</v>
      </c>
      <c r="J438" s="212">
        <v>3</v>
      </c>
      <c r="K438" s="191" t="s">
        <v>645</v>
      </c>
      <c r="L438" s="205"/>
      <c r="M438" s="193"/>
      <c r="N438" s="193"/>
      <c r="O438" s="193"/>
      <c r="P438" s="193"/>
      <c r="Q438" s="193"/>
      <c r="R438" s="193"/>
      <c r="S438" s="193"/>
      <c r="T438" s="193"/>
      <c r="U438" s="193"/>
      <c r="V438" s="193"/>
      <c r="W438" s="193"/>
      <c r="X438" s="193"/>
      <c r="Y438" s="193"/>
    </row>
    <row r="439" spans="2:25" ht="30" hidden="1" customHeight="1" x14ac:dyDescent="0.2">
      <c r="B439" s="187" t="s">
        <v>786</v>
      </c>
      <c r="C439" s="222" t="s">
        <v>787</v>
      </c>
      <c r="D439" s="247"/>
      <c r="E439" s="247"/>
      <c r="F439" s="216" t="s">
        <v>788</v>
      </c>
      <c r="G439" s="212" t="s">
        <v>792</v>
      </c>
      <c r="H439" s="212" t="s">
        <v>67</v>
      </c>
      <c r="I439" s="212">
        <v>0</v>
      </c>
      <c r="J439" s="212">
        <v>1</v>
      </c>
      <c r="K439" s="202" t="s">
        <v>228</v>
      </c>
      <c r="L439" s="205"/>
      <c r="M439" s="193"/>
      <c r="N439" s="193"/>
      <c r="O439" s="193"/>
      <c r="P439" s="193"/>
      <c r="Q439" s="193"/>
      <c r="R439" s="193"/>
      <c r="S439" s="193"/>
      <c r="T439" s="193"/>
      <c r="U439" s="193"/>
      <c r="V439" s="193"/>
      <c r="W439" s="193"/>
      <c r="X439" s="193"/>
      <c r="Y439" s="193"/>
    </row>
    <row r="440" spans="2:25" ht="30" hidden="1" customHeight="1" x14ac:dyDescent="0.2">
      <c r="B440" s="187" t="s">
        <v>786</v>
      </c>
      <c r="C440" s="222" t="s">
        <v>787</v>
      </c>
      <c r="D440" s="247"/>
      <c r="E440" s="247"/>
      <c r="F440" s="216" t="s">
        <v>788</v>
      </c>
      <c r="G440" s="212" t="s">
        <v>793</v>
      </c>
      <c r="H440" s="248" t="s">
        <v>67</v>
      </c>
      <c r="I440" s="212">
        <v>0</v>
      </c>
      <c r="J440" s="212">
        <v>1</v>
      </c>
      <c r="K440" s="202" t="s">
        <v>228</v>
      </c>
      <c r="L440" s="205"/>
      <c r="M440" s="193"/>
      <c r="N440" s="193"/>
      <c r="O440" s="193"/>
      <c r="P440" s="193"/>
      <c r="Q440" s="193"/>
      <c r="R440" s="193"/>
      <c r="S440" s="193"/>
      <c r="T440" s="193"/>
      <c r="U440" s="193"/>
      <c r="V440" s="193"/>
      <c r="W440" s="193"/>
      <c r="X440" s="193"/>
      <c r="Y440" s="193"/>
    </row>
    <row r="441" spans="2:25" ht="30" hidden="1" customHeight="1" x14ac:dyDescent="0.2">
      <c r="B441" s="187" t="s">
        <v>786</v>
      </c>
      <c r="C441" s="222" t="s">
        <v>787</v>
      </c>
      <c r="D441" s="247"/>
      <c r="E441" s="247"/>
      <c r="F441" s="216" t="s">
        <v>788</v>
      </c>
      <c r="G441" s="212" t="s">
        <v>794</v>
      </c>
      <c r="H441" s="212" t="s">
        <v>67</v>
      </c>
      <c r="I441" s="212">
        <v>0</v>
      </c>
      <c r="J441" s="212">
        <v>1</v>
      </c>
      <c r="K441" s="191" t="s">
        <v>795</v>
      </c>
      <c r="L441" s="205"/>
      <c r="M441" s="193"/>
      <c r="N441" s="193"/>
      <c r="O441" s="193"/>
      <c r="P441" s="193"/>
      <c r="Q441" s="193"/>
      <c r="R441" s="193"/>
      <c r="S441" s="193"/>
      <c r="T441" s="193"/>
      <c r="U441" s="193"/>
      <c r="V441" s="193"/>
      <c r="W441" s="193"/>
      <c r="X441" s="193"/>
      <c r="Y441" s="193"/>
    </row>
    <row r="442" spans="2:25" ht="30" hidden="1" customHeight="1" x14ac:dyDescent="0.2">
      <c r="B442" s="187" t="s">
        <v>786</v>
      </c>
      <c r="C442" s="222" t="s">
        <v>787</v>
      </c>
      <c r="D442" s="247"/>
      <c r="E442" s="247"/>
      <c r="F442" s="216" t="s">
        <v>788</v>
      </c>
      <c r="G442" s="212" t="s">
        <v>796</v>
      </c>
      <c r="H442" s="212" t="s">
        <v>67</v>
      </c>
      <c r="I442" s="212">
        <v>4</v>
      </c>
      <c r="J442" s="212">
        <v>3</v>
      </c>
      <c r="K442" s="191" t="s">
        <v>283</v>
      </c>
      <c r="L442" s="205"/>
      <c r="M442" s="193"/>
      <c r="N442" s="193"/>
      <c r="O442" s="193"/>
      <c r="P442" s="193"/>
      <c r="Q442" s="193"/>
      <c r="R442" s="193"/>
      <c r="S442" s="193"/>
      <c r="T442" s="193"/>
      <c r="U442" s="193"/>
      <c r="V442" s="193"/>
      <c r="W442" s="193"/>
      <c r="X442" s="193"/>
      <c r="Y442" s="193"/>
    </row>
    <row r="443" spans="2:25" ht="30" hidden="1" customHeight="1" x14ac:dyDescent="0.2">
      <c r="B443" s="187" t="s">
        <v>786</v>
      </c>
      <c r="C443" s="222" t="s">
        <v>787</v>
      </c>
      <c r="D443" s="247"/>
      <c r="E443" s="247"/>
      <c r="F443" s="216" t="s">
        <v>788</v>
      </c>
      <c r="G443" s="212" t="s">
        <v>797</v>
      </c>
      <c r="H443" s="212" t="s">
        <v>67</v>
      </c>
      <c r="I443" s="212">
        <v>0</v>
      </c>
      <c r="J443" s="212">
        <v>1</v>
      </c>
      <c r="K443" s="191" t="s">
        <v>795</v>
      </c>
      <c r="L443" s="205"/>
      <c r="M443" s="193"/>
      <c r="N443" s="193"/>
      <c r="O443" s="193"/>
      <c r="P443" s="193"/>
      <c r="Q443" s="193"/>
      <c r="R443" s="193"/>
      <c r="S443" s="193"/>
      <c r="T443" s="193"/>
      <c r="U443" s="193"/>
      <c r="V443" s="193"/>
      <c r="W443" s="193"/>
      <c r="X443" s="193"/>
      <c r="Y443" s="193"/>
    </row>
    <row r="444" spans="2:25" ht="45" hidden="1" customHeight="1" x14ac:dyDescent="0.2">
      <c r="B444" s="187" t="s">
        <v>786</v>
      </c>
      <c r="C444" s="222" t="s">
        <v>787</v>
      </c>
      <c r="D444" s="247"/>
      <c r="E444" s="247"/>
      <c r="F444" s="216" t="s">
        <v>788</v>
      </c>
      <c r="G444" s="212" t="s">
        <v>798</v>
      </c>
      <c r="H444" s="212" t="s">
        <v>67</v>
      </c>
      <c r="I444" s="212">
        <v>1</v>
      </c>
      <c r="J444" s="212">
        <v>1</v>
      </c>
      <c r="K444" s="191" t="s">
        <v>795</v>
      </c>
      <c r="L444" s="205"/>
      <c r="M444" s="193"/>
      <c r="N444" s="193"/>
      <c r="O444" s="193"/>
      <c r="P444" s="193"/>
      <c r="Q444" s="193"/>
      <c r="R444" s="193"/>
      <c r="S444" s="193"/>
      <c r="T444" s="193"/>
      <c r="U444" s="193"/>
      <c r="V444" s="193"/>
      <c r="W444" s="193"/>
      <c r="X444" s="193"/>
      <c r="Y444" s="193"/>
    </row>
    <row r="445" spans="2:25" ht="45" hidden="1" customHeight="1" x14ac:dyDescent="0.2">
      <c r="B445" s="187" t="s">
        <v>786</v>
      </c>
      <c r="C445" s="222" t="s">
        <v>787</v>
      </c>
      <c r="D445" s="247"/>
      <c r="E445" s="247"/>
      <c r="F445" s="216" t="s">
        <v>788</v>
      </c>
      <c r="G445" s="212" t="s">
        <v>799</v>
      </c>
      <c r="H445" s="212" t="s">
        <v>67</v>
      </c>
      <c r="I445" s="212">
        <v>0</v>
      </c>
      <c r="J445" s="212">
        <v>4</v>
      </c>
      <c r="K445" s="191" t="s">
        <v>795</v>
      </c>
      <c r="L445" s="205"/>
      <c r="M445" s="193"/>
      <c r="N445" s="193"/>
      <c r="O445" s="193"/>
      <c r="P445" s="193"/>
      <c r="Q445" s="193"/>
      <c r="R445" s="193"/>
      <c r="S445" s="193"/>
      <c r="T445" s="193"/>
      <c r="U445" s="193"/>
      <c r="V445" s="193"/>
      <c r="W445" s="193"/>
      <c r="X445" s="193"/>
      <c r="Y445" s="193"/>
    </row>
    <row r="446" spans="2:25" ht="15" customHeight="1" x14ac:dyDescent="0.2">
      <c r="R446" s="254"/>
      <c r="T446" s="255"/>
      <c r="V446" s="255"/>
    </row>
    <row r="447" spans="2:25" ht="15" customHeight="1" x14ac:dyDescent="0.2">
      <c r="R447" s="256"/>
      <c r="T447" s="255"/>
      <c r="V447" s="255"/>
    </row>
    <row r="448" spans="2:25" x14ac:dyDescent="0.2">
      <c r="R448" s="254"/>
      <c r="S448" s="257"/>
    </row>
    <row r="449" spans="17:22" ht="15.75" x14ac:dyDescent="0.25">
      <c r="Q449" s="258"/>
      <c r="R449" s="259"/>
      <c r="V449" s="254"/>
    </row>
    <row r="450" spans="17:22" x14ac:dyDescent="0.2">
      <c r="T450" s="254"/>
    </row>
    <row r="453" spans="17:22" x14ac:dyDescent="0.2">
      <c r="R453" s="254"/>
    </row>
    <row r="454" spans="17:22" x14ac:dyDescent="0.2">
      <c r="R454" s="254"/>
    </row>
    <row r="460" spans="17:22" x14ac:dyDescent="0.2">
      <c r="U460" s="249" t="s">
        <v>34</v>
      </c>
    </row>
  </sheetData>
  <autoFilter ref="B11:Y447"/>
  <mergeCells count="40">
    <mergeCell ref="M219:M220"/>
    <mergeCell ref="N219:N220"/>
    <mergeCell ref="O219:O220"/>
    <mergeCell ref="P219:P220"/>
    <mergeCell ref="B219:B220"/>
    <mergeCell ref="C219:C220"/>
    <mergeCell ref="D219:D220"/>
    <mergeCell ref="E219:E220"/>
    <mergeCell ref="G219:G220"/>
    <mergeCell ref="M215:M217"/>
    <mergeCell ref="N215:N217"/>
    <mergeCell ref="O215:O217"/>
    <mergeCell ref="P215:P217"/>
    <mergeCell ref="B208:B210"/>
    <mergeCell ref="C208:C210"/>
    <mergeCell ref="D208:D210"/>
    <mergeCell ref="E208:E210"/>
    <mergeCell ref="G208:G210"/>
    <mergeCell ref="M208:M210"/>
    <mergeCell ref="B215:B217"/>
    <mergeCell ref="C215:C217"/>
    <mergeCell ref="D215:D217"/>
    <mergeCell ref="E215:E217"/>
    <mergeCell ref="G215:G217"/>
    <mergeCell ref="N208:N210"/>
    <mergeCell ref="B10:L10"/>
    <mergeCell ref="M10:P10"/>
    <mergeCell ref="Q10:Y10"/>
    <mergeCell ref="B194:B195"/>
    <mergeCell ref="C194:C195"/>
    <mergeCell ref="D194:D195"/>
    <mergeCell ref="E194:E195"/>
    <mergeCell ref="F194:F195"/>
    <mergeCell ref="G194:G195"/>
    <mergeCell ref="M194:M195"/>
    <mergeCell ref="N194:N195"/>
    <mergeCell ref="O194:O195"/>
    <mergeCell ref="P194:P195"/>
    <mergeCell ref="O208:O210"/>
    <mergeCell ref="P208:P2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PLAN DE ACCIÓN</vt:lpstr>
      <vt:lpstr>Hoja1</vt:lpstr>
      <vt:lpstr>MODELO PLAN IINDICATIVO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LOS ANGELES BURGOS</dc:creator>
  <cp:lastModifiedBy>Julián Antonio Zapata Duram</cp:lastModifiedBy>
  <cp:lastPrinted>2021-01-06T17:35:07Z</cp:lastPrinted>
  <dcterms:created xsi:type="dcterms:W3CDTF">2020-06-24T20:15:16Z</dcterms:created>
  <dcterms:modified xsi:type="dcterms:W3CDTF">2021-07-19T16:01:23Z</dcterms:modified>
</cp:coreProperties>
</file>